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FZBienen\Abteilung\Forschung\ZuFi Bayern 2021\x_Sonstiges\_costing\DIB\1_veröffentlicht_geschützt\"/>
    </mc:Choice>
  </mc:AlternateContent>
  <xr:revisionPtr revIDLastSave="0" documentId="13_ncr:1_{145EC26F-0E77-418A-859E-87DB9D6E6BF9}" xr6:coauthVersionLast="47" xr6:coauthVersionMax="47" xr10:uidLastSave="{00000000-0000-0000-0000-000000000000}"/>
  <workbookProtection workbookAlgorithmName="SHA-512" workbookHashValue="Jf5NA2wIViZEls5YSGduKqK+FaAXIaO/ZAKsscxAQniQkEizW6Q42AFi1Max0Bohhdxkglm0QQshn6Tuqylqvw==" workbookSaltValue="h194HPALp8AzXxBAIZkZQw==" workbookSpinCount="100000" lockStructure="1"/>
  <bookViews>
    <workbookView xWindow="-120" yWindow="-120" windowWidth="29040" windowHeight="17520" tabRatio="919" activeTab="1" xr2:uid="{3CF78529-4E3A-4E13-8557-8BF208DFD6E6}"/>
  </bookViews>
  <sheets>
    <sheet name="INTRO" sheetId="46" r:id="rId1"/>
    <sheet name="Start" sheetId="24" r:id="rId2"/>
    <sheet name="Values" sheetId="37" state="hidden" r:id="rId3"/>
    <sheet name="Tabelle 1_nach Kostenart" sheetId="48" r:id="rId4"/>
    <sheet name="Tabelle 2_nach Prozessen" sheetId="51" r:id="rId5"/>
    <sheet name="Tabelle 3_nach Zahlungsart" sheetId="50" r:id="rId6"/>
    <sheet name="Tabelle 4_Kennzahlen" sheetId="52" r:id="rId7"/>
    <sheet name="calc_pos" sheetId="18" state="hidden" r:id="rId8"/>
  </sheets>
  <definedNames>
    <definedName name="_xlnm._FilterDatabase" localSheetId="7" hidden="1">calc_pos!$A$1:$Z$334</definedName>
    <definedName name="Betriebsklassifikation_Ist___Soll">#REF!</definedName>
    <definedName name="_xlnm.Print_Area" localSheetId="0">INTRO!$A$1</definedName>
    <definedName name="_xlnm.Print_Area" localSheetId="1">Start!$A$1:$G$49</definedName>
    <definedName name="_xlnm.Print_Area" localSheetId="3">'Tabelle 1_nach Kostenart'!$A$1:$Q$21</definedName>
    <definedName name="_xlnm.Print_Area" localSheetId="4">'Tabelle 2_nach Prozessen'!$A$1:$Q$21</definedName>
    <definedName name="_xlnm.Print_Area" localSheetId="5">'Tabelle 3_nach Zahlungsart'!$A$1:$Q$21</definedName>
    <definedName name="_xlnm.Print_Area" localSheetId="6">'Tabelle 4_Kennzahlen'!$A$1:$Q$18</definedName>
    <definedName name="TAB_Verlust">Values!$A$2:$A$12</definedName>
  </definedNames>
  <calcPr calcId="191029"/>
  <pivotCaches>
    <pivotCache cacheId="27" r:id="rId9"/>
    <pivotCache cacheId="3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0" i="18" l="1"/>
  <c r="S320" i="18" s="1"/>
  <c r="O318" i="18"/>
  <c r="S318" i="18" s="1"/>
  <c r="O316" i="18"/>
  <c r="S316" i="18" s="1"/>
  <c r="O314" i="18"/>
  <c r="S314" i="18" s="1"/>
  <c r="D7" i="24"/>
  <c r="D6" i="24"/>
  <c r="D5" i="24"/>
  <c r="K333" i="18"/>
  <c r="K332" i="18"/>
  <c r="K331" i="18"/>
  <c r="K330" i="18"/>
  <c r="K329" i="18"/>
  <c r="K328" i="18"/>
  <c r="K327" i="18"/>
  <c r="K326" i="18"/>
  <c r="K325" i="18"/>
  <c r="K324" i="18"/>
  <c r="K323" i="18"/>
  <c r="K322" i="18"/>
  <c r="K321" i="18"/>
  <c r="K320" i="18"/>
  <c r="K319" i="18"/>
  <c r="K318" i="18"/>
  <c r="K317" i="18"/>
  <c r="K316" i="18"/>
  <c r="K315" i="18"/>
  <c r="K314" i="18"/>
  <c r="K313" i="18"/>
  <c r="K312" i="18"/>
  <c r="K311" i="18"/>
  <c r="K310" i="18"/>
  <c r="K309" i="18"/>
  <c r="K308" i="18"/>
  <c r="K307" i="18"/>
  <c r="K306" i="18"/>
  <c r="K305" i="18"/>
  <c r="K304" i="18"/>
  <c r="K303" i="18"/>
  <c r="K302" i="18"/>
  <c r="K301" i="18"/>
  <c r="K300" i="18"/>
  <c r="K299" i="18"/>
  <c r="K298" i="18"/>
  <c r="K297" i="18"/>
  <c r="K296" i="18"/>
  <c r="K295" i="18"/>
  <c r="K294" i="18"/>
  <c r="K293" i="18"/>
  <c r="K292" i="18"/>
  <c r="K291" i="18"/>
  <c r="K290" i="18"/>
  <c r="K289" i="18"/>
  <c r="K288" i="18"/>
  <c r="K287" i="18"/>
  <c r="K286" i="18"/>
  <c r="K285" i="18"/>
  <c r="K284" i="18"/>
  <c r="K283" i="18"/>
  <c r="K282" i="18"/>
  <c r="K281" i="18"/>
  <c r="K280" i="18"/>
  <c r="K279" i="18"/>
  <c r="K278" i="18"/>
  <c r="K277" i="18"/>
  <c r="K276" i="18"/>
  <c r="K275" i="18"/>
  <c r="K274" i="18"/>
  <c r="K273" i="18"/>
  <c r="K272" i="18"/>
  <c r="K271" i="18"/>
  <c r="K270" i="18"/>
  <c r="K269" i="18"/>
  <c r="K268" i="18"/>
  <c r="K267" i="18"/>
  <c r="K266" i="18"/>
  <c r="K265" i="18"/>
  <c r="K264" i="18"/>
  <c r="K263" i="18"/>
  <c r="K262" i="18"/>
  <c r="K261" i="18"/>
  <c r="K260" i="18"/>
  <c r="K259" i="18"/>
  <c r="K258" i="18"/>
  <c r="K257" i="18"/>
  <c r="K256" i="18"/>
  <c r="K255" i="18"/>
  <c r="K254" i="18"/>
  <c r="K253" i="18"/>
  <c r="K252" i="18"/>
  <c r="K251" i="18"/>
  <c r="K250" i="18"/>
  <c r="K249" i="18"/>
  <c r="K248" i="18"/>
  <c r="K247" i="18"/>
  <c r="K246" i="18"/>
  <c r="K245" i="18"/>
  <c r="K244" i="18"/>
  <c r="K243" i="18"/>
  <c r="K242" i="18"/>
  <c r="K241" i="18"/>
  <c r="K240" i="18"/>
  <c r="K239" i="18"/>
  <c r="K238" i="18"/>
  <c r="K237" i="18"/>
  <c r="K236" i="18"/>
  <c r="K235" i="18"/>
  <c r="K234" i="18"/>
  <c r="K233" i="18"/>
  <c r="K232" i="18"/>
  <c r="K231" i="18"/>
  <c r="K230" i="18"/>
  <c r="K229" i="18"/>
  <c r="K228" i="18"/>
  <c r="K227" i="18"/>
  <c r="K226" i="18"/>
  <c r="K225" i="18"/>
  <c r="K224" i="18"/>
  <c r="K223" i="18"/>
  <c r="K222" i="18"/>
  <c r="K221" i="18"/>
  <c r="K220" i="18"/>
  <c r="K219" i="18"/>
  <c r="K218" i="18"/>
  <c r="K217" i="18"/>
  <c r="K216" i="18"/>
  <c r="K215" i="18"/>
  <c r="K214" i="18"/>
  <c r="K213" i="18"/>
  <c r="K212" i="18"/>
  <c r="K211" i="18"/>
  <c r="K210" i="18"/>
  <c r="K209" i="18"/>
  <c r="K208" i="18"/>
  <c r="K207" i="18"/>
  <c r="K206" i="18"/>
  <c r="K205" i="18"/>
  <c r="K204" i="18"/>
  <c r="K203" i="18"/>
  <c r="K202" i="18"/>
  <c r="K201" i="18"/>
  <c r="K200" i="18"/>
  <c r="K199" i="18"/>
  <c r="K198" i="18"/>
  <c r="K197" i="18"/>
  <c r="K196" i="18"/>
  <c r="K195" i="18"/>
  <c r="K194" i="18"/>
  <c r="K193" i="18"/>
  <c r="K192" i="18"/>
  <c r="K191" i="18"/>
  <c r="K190" i="18"/>
  <c r="K189" i="18"/>
  <c r="K188" i="18"/>
  <c r="K187" i="18"/>
  <c r="K186" i="18"/>
  <c r="K185" i="18"/>
  <c r="K184" i="18"/>
  <c r="K183" i="18"/>
  <c r="K182" i="18"/>
  <c r="K181" i="18"/>
  <c r="K180" i="18"/>
  <c r="K179" i="18"/>
  <c r="K178" i="18"/>
  <c r="K177" i="18"/>
  <c r="K176" i="18"/>
  <c r="K175" i="18"/>
  <c r="K174" i="18"/>
  <c r="K173" i="18"/>
  <c r="K172" i="18"/>
  <c r="K171" i="18"/>
  <c r="K170" i="18"/>
  <c r="K169" i="18"/>
  <c r="K168" i="18"/>
  <c r="K167" i="18"/>
  <c r="K166" i="18"/>
  <c r="K165" i="18"/>
  <c r="K164" i="18"/>
  <c r="K163" i="18"/>
  <c r="K162" i="18"/>
  <c r="K161" i="18"/>
  <c r="K160" i="18"/>
  <c r="K159" i="18"/>
  <c r="K158" i="18"/>
  <c r="K157" i="18"/>
  <c r="K156" i="18"/>
  <c r="K155" i="18"/>
  <c r="K154" i="18"/>
  <c r="K153" i="18"/>
  <c r="K152" i="18"/>
  <c r="K151" i="18"/>
  <c r="K150" i="18"/>
  <c r="K149" i="18"/>
  <c r="K148" i="18"/>
  <c r="K147" i="18"/>
  <c r="K146" i="18"/>
  <c r="K145" i="18"/>
  <c r="K144" i="18"/>
  <c r="K143" i="18"/>
  <c r="K142" i="18"/>
  <c r="K141" i="18"/>
  <c r="K140" i="18"/>
  <c r="K139" i="18"/>
  <c r="K138" i="18"/>
  <c r="K137" i="18"/>
  <c r="K136" i="18"/>
  <c r="K135" i="18"/>
  <c r="K134" i="18"/>
  <c r="K133" i="18"/>
  <c r="K132" i="18"/>
  <c r="K131" i="18"/>
  <c r="K130" i="18"/>
  <c r="K129" i="18"/>
  <c r="K128" i="18"/>
  <c r="K127" i="18"/>
  <c r="K126" i="18"/>
  <c r="K125" i="18"/>
  <c r="K124" i="18"/>
  <c r="K123" i="18"/>
  <c r="K122" i="18"/>
  <c r="K121" i="18"/>
  <c r="K120" i="18"/>
  <c r="K119" i="18"/>
  <c r="K118" i="18"/>
  <c r="K117" i="18"/>
  <c r="K116" i="18"/>
  <c r="K115" i="18"/>
  <c r="K114" i="18"/>
  <c r="K113" i="18"/>
  <c r="K112" i="18"/>
  <c r="K111" i="18"/>
  <c r="K110" i="18"/>
  <c r="K109" i="18"/>
  <c r="K108" i="18"/>
  <c r="K107" i="18"/>
  <c r="K106" i="18"/>
  <c r="K105" i="18"/>
  <c r="K104" i="18"/>
  <c r="K103" i="18"/>
  <c r="K102" i="18"/>
  <c r="K101" i="18"/>
  <c r="K100" i="18"/>
  <c r="K99" i="18"/>
  <c r="K98" i="18"/>
  <c r="K97" i="18"/>
  <c r="K96" i="18"/>
  <c r="K95" i="18"/>
  <c r="K94" i="18"/>
  <c r="K93" i="18"/>
  <c r="K92" i="18"/>
  <c r="K91" i="18"/>
  <c r="K90" i="18"/>
  <c r="K89" i="18"/>
  <c r="K88" i="18"/>
  <c r="K87" i="18"/>
  <c r="K86" i="18"/>
  <c r="K85" i="18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K2" i="18"/>
  <c r="Z329" i="18"/>
  <c r="Y329" i="18"/>
  <c r="X329" i="18"/>
  <c r="W329" i="18"/>
  <c r="Q329" i="18"/>
  <c r="Z328" i="18"/>
  <c r="Y328" i="18"/>
  <c r="X328" i="18"/>
  <c r="W328" i="18"/>
  <c r="Q328" i="18"/>
  <c r="Z327" i="18"/>
  <c r="Y327" i="18"/>
  <c r="X327" i="18"/>
  <c r="W327" i="18"/>
  <c r="Q327" i="18"/>
  <c r="Z326" i="18"/>
  <c r="Y326" i="18"/>
  <c r="X326" i="18"/>
  <c r="W326" i="18"/>
  <c r="Q326" i="18"/>
  <c r="Z325" i="18"/>
  <c r="Y325" i="18"/>
  <c r="X325" i="18"/>
  <c r="W325" i="18"/>
  <c r="Q325" i="18"/>
  <c r="Z324" i="18"/>
  <c r="Y324" i="18"/>
  <c r="X324" i="18"/>
  <c r="W324" i="18"/>
  <c r="Q324" i="18"/>
  <c r="Z323" i="18"/>
  <c r="Y323" i="18"/>
  <c r="X323" i="18"/>
  <c r="W323" i="18"/>
  <c r="Q323" i="18"/>
  <c r="Z322" i="18"/>
  <c r="Y322" i="18"/>
  <c r="X322" i="18"/>
  <c r="W322" i="18"/>
  <c r="Q322" i="18"/>
  <c r="C12" i="24"/>
  <c r="Z68" i="18"/>
  <c r="Y68" i="18"/>
  <c r="X68" i="18"/>
  <c r="R68" i="18"/>
  <c r="S68" i="18" s="1"/>
  <c r="T68" i="18" s="1"/>
  <c r="U68" i="18" s="1"/>
  <c r="V68" i="18" s="1"/>
  <c r="Z47" i="18"/>
  <c r="Y47" i="18"/>
  <c r="X47" i="18"/>
  <c r="R47" i="18"/>
  <c r="W47" i="18" s="1"/>
  <c r="Z26" i="18"/>
  <c r="Y26" i="18"/>
  <c r="X26" i="18"/>
  <c r="R26" i="18"/>
  <c r="W26" i="18" s="1"/>
  <c r="Z5" i="18"/>
  <c r="Y5" i="18"/>
  <c r="X5" i="18"/>
  <c r="R5" i="18"/>
  <c r="W5" i="18" s="1"/>
  <c r="W68" i="18" l="1"/>
  <c r="S47" i="18"/>
  <c r="T47" i="18" s="1"/>
  <c r="U47" i="18" s="1"/>
  <c r="V47" i="18" s="1"/>
  <c r="S26" i="18"/>
  <c r="T26" i="18" s="1"/>
  <c r="U26" i="18" s="1"/>
  <c r="V26" i="18" s="1"/>
  <c r="S5" i="18"/>
  <c r="T5" i="18" s="1"/>
  <c r="U5" i="18" s="1"/>
  <c r="V5" i="18" s="1"/>
  <c r="C21" i="24" l="1"/>
  <c r="Z4" i="18"/>
  <c r="Y4" i="18"/>
  <c r="X4" i="18"/>
  <c r="R4" i="18"/>
  <c r="W4" i="18" s="1"/>
  <c r="Z25" i="18"/>
  <c r="Y25" i="18"/>
  <c r="X25" i="18"/>
  <c r="R25" i="18"/>
  <c r="S25" i="18" s="1"/>
  <c r="T25" i="18" s="1"/>
  <c r="U25" i="18" s="1"/>
  <c r="V25" i="18" s="1"/>
  <c r="Z46" i="18"/>
  <c r="Y46" i="18"/>
  <c r="X46" i="18"/>
  <c r="R46" i="18"/>
  <c r="W46" i="18" s="1"/>
  <c r="R67" i="18"/>
  <c r="W67" i="18" s="1"/>
  <c r="Z67" i="18"/>
  <c r="Y67" i="18"/>
  <c r="X67" i="18"/>
  <c r="W25" i="18" l="1"/>
  <c r="S4" i="18"/>
  <c r="T4" i="18" s="1"/>
  <c r="U4" i="18" s="1"/>
  <c r="V4" i="18" s="1"/>
  <c r="S46" i="18"/>
  <c r="T46" i="18" s="1"/>
  <c r="U46" i="18" s="1"/>
  <c r="V46" i="18" s="1"/>
  <c r="S67" i="18"/>
  <c r="T67" i="18" s="1"/>
  <c r="U67" i="18" s="1"/>
  <c r="V67" i="18" s="1"/>
  <c r="O191" i="18"/>
  <c r="O181" i="18"/>
  <c r="Z73" i="18" l="1"/>
  <c r="Y73" i="18"/>
  <c r="W73" i="18"/>
  <c r="Q73" i="18"/>
  <c r="Z72" i="18"/>
  <c r="Y72" i="18"/>
  <c r="X72" i="18"/>
  <c r="W72" i="18"/>
  <c r="Q72" i="18"/>
  <c r="Z71" i="18"/>
  <c r="Y71" i="18"/>
  <c r="X71" i="18"/>
  <c r="W71" i="18"/>
  <c r="Z70" i="18"/>
  <c r="Y70" i="18"/>
  <c r="X70" i="18"/>
  <c r="W70" i="18"/>
  <c r="Z69" i="18"/>
  <c r="Y69" i="18"/>
  <c r="X69" i="18"/>
  <c r="O69" i="18"/>
  <c r="O71" i="18" s="1"/>
  <c r="Z52" i="18"/>
  <c r="Y52" i="18"/>
  <c r="W52" i="18"/>
  <c r="Q52" i="18"/>
  <c r="Z51" i="18"/>
  <c r="Y51" i="18"/>
  <c r="X51" i="18"/>
  <c r="W51" i="18"/>
  <c r="Q51" i="18"/>
  <c r="Z50" i="18"/>
  <c r="Y50" i="18"/>
  <c r="X50" i="18"/>
  <c r="W50" i="18"/>
  <c r="Z49" i="18"/>
  <c r="Y49" i="18"/>
  <c r="X49" i="18"/>
  <c r="W49" i="18"/>
  <c r="Z48" i="18"/>
  <c r="Y48" i="18"/>
  <c r="X48" i="18"/>
  <c r="O48" i="18"/>
  <c r="O50" i="18" s="1"/>
  <c r="Z333" i="18"/>
  <c r="Y333" i="18"/>
  <c r="Z332" i="18"/>
  <c r="Y332" i="18"/>
  <c r="Z331" i="18"/>
  <c r="Y331" i="18"/>
  <c r="Z330" i="18"/>
  <c r="Y330" i="18"/>
  <c r="Z321" i="18"/>
  <c r="Y321" i="18"/>
  <c r="Z320" i="18"/>
  <c r="Y320" i="18"/>
  <c r="Z319" i="18"/>
  <c r="Y319" i="18"/>
  <c r="Z318" i="18"/>
  <c r="Y318" i="18"/>
  <c r="Z317" i="18"/>
  <c r="Y317" i="18"/>
  <c r="Z316" i="18"/>
  <c r="Y316" i="18"/>
  <c r="Z315" i="18"/>
  <c r="Y315" i="18"/>
  <c r="Z314" i="18"/>
  <c r="Y314" i="18"/>
  <c r="Z313" i="18"/>
  <c r="Y313" i="18"/>
  <c r="Z312" i="18"/>
  <c r="Y312" i="18"/>
  <c r="Z311" i="18"/>
  <c r="Y311" i="18"/>
  <c r="Z310" i="18"/>
  <c r="Y310" i="18"/>
  <c r="Z309" i="18"/>
  <c r="Y309" i="18"/>
  <c r="Z308" i="18"/>
  <c r="Y308" i="18"/>
  <c r="Z307" i="18"/>
  <c r="Y307" i="18"/>
  <c r="Z306" i="18"/>
  <c r="Y306" i="18"/>
  <c r="Z305" i="18"/>
  <c r="Y305" i="18"/>
  <c r="Z304" i="18"/>
  <c r="Y304" i="18"/>
  <c r="Z303" i="18"/>
  <c r="Y303" i="18"/>
  <c r="Z302" i="18"/>
  <c r="Y302" i="18"/>
  <c r="Z301" i="18"/>
  <c r="Y301" i="18"/>
  <c r="Z300" i="18"/>
  <c r="Y300" i="18"/>
  <c r="Z299" i="18"/>
  <c r="Y299" i="18"/>
  <c r="Z298" i="18"/>
  <c r="Y298" i="18"/>
  <c r="Z297" i="18"/>
  <c r="Y297" i="18"/>
  <c r="Z296" i="18"/>
  <c r="Y296" i="18"/>
  <c r="Z295" i="18"/>
  <c r="Y295" i="18"/>
  <c r="Z294" i="18"/>
  <c r="Y294" i="18"/>
  <c r="Z293" i="18"/>
  <c r="Y293" i="18"/>
  <c r="Z292" i="18"/>
  <c r="Y292" i="18"/>
  <c r="Z291" i="18"/>
  <c r="Y291" i="18"/>
  <c r="Z290" i="18"/>
  <c r="Y290" i="18"/>
  <c r="Z289" i="18"/>
  <c r="Y289" i="18"/>
  <c r="Z288" i="18"/>
  <c r="Y288" i="18"/>
  <c r="Z287" i="18"/>
  <c r="Y287" i="18"/>
  <c r="Z286" i="18"/>
  <c r="Y286" i="18"/>
  <c r="Z285" i="18"/>
  <c r="Y285" i="18"/>
  <c r="Z284" i="18"/>
  <c r="Y284" i="18"/>
  <c r="Z283" i="18"/>
  <c r="Y283" i="18"/>
  <c r="Z282" i="18"/>
  <c r="Y282" i="18"/>
  <c r="Z281" i="18"/>
  <c r="Y281" i="18"/>
  <c r="Z280" i="18"/>
  <c r="Y280" i="18"/>
  <c r="Z279" i="18"/>
  <c r="Y279" i="18"/>
  <c r="Z278" i="18"/>
  <c r="Y278" i="18"/>
  <c r="Z277" i="18"/>
  <c r="Y277" i="18"/>
  <c r="Z276" i="18"/>
  <c r="Y276" i="18"/>
  <c r="Z275" i="18"/>
  <c r="Y275" i="18"/>
  <c r="Z274" i="18"/>
  <c r="Y274" i="18"/>
  <c r="Z273" i="18"/>
  <c r="Y273" i="18"/>
  <c r="Z272" i="18"/>
  <c r="Y272" i="18"/>
  <c r="Z271" i="18"/>
  <c r="Y271" i="18"/>
  <c r="Z270" i="18"/>
  <c r="Y270" i="18"/>
  <c r="Z269" i="18"/>
  <c r="Y269" i="18"/>
  <c r="Z268" i="18"/>
  <c r="Y268" i="18"/>
  <c r="Z267" i="18"/>
  <c r="Y267" i="18"/>
  <c r="Z266" i="18"/>
  <c r="Y266" i="18"/>
  <c r="Z265" i="18"/>
  <c r="Y265" i="18"/>
  <c r="Z264" i="18"/>
  <c r="Y264" i="18"/>
  <c r="Z263" i="18"/>
  <c r="Y263" i="18"/>
  <c r="Z262" i="18"/>
  <c r="Y262" i="18"/>
  <c r="Z261" i="18"/>
  <c r="Y261" i="18"/>
  <c r="Z260" i="18"/>
  <c r="Y260" i="18"/>
  <c r="Z259" i="18"/>
  <c r="Y259" i="18"/>
  <c r="Z258" i="18"/>
  <c r="Y258" i="18"/>
  <c r="Z257" i="18"/>
  <c r="Y257" i="18"/>
  <c r="Z256" i="18"/>
  <c r="Y256" i="18"/>
  <c r="Z255" i="18"/>
  <c r="Y255" i="18"/>
  <c r="Z254" i="18"/>
  <c r="Y254" i="18"/>
  <c r="Z253" i="18"/>
  <c r="Y253" i="18"/>
  <c r="Z252" i="18"/>
  <c r="Y252" i="18"/>
  <c r="Z251" i="18"/>
  <c r="Y251" i="18"/>
  <c r="Z250" i="18"/>
  <c r="Y250" i="18"/>
  <c r="Z249" i="18"/>
  <c r="Y249" i="18"/>
  <c r="Z248" i="18"/>
  <c r="Y248" i="18"/>
  <c r="Z247" i="18"/>
  <c r="Y247" i="18"/>
  <c r="Z246" i="18"/>
  <c r="Y246" i="18"/>
  <c r="Z245" i="18"/>
  <c r="Y245" i="18"/>
  <c r="Z244" i="18"/>
  <c r="Y244" i="18"/>
  <c r="Z243" i="18"/>
  <c r="Y243" i="18"/>
  <c r="Z242" i="18"/>
  <c r="Y242" i="18"/>
  <c r="Z241" i="18"/>
  <c r="Y241" i="18"/>
  <c r="Z240" i="18"/>
  <c r="Y240" i="18"/>
  <c r="Z239" i="18"/>
  <c r="Z238" i="18"/>
  <c r="Y238" i="18"/>
  <c r="Z237" i="18"/>
  <c r="Y237" i="18"/>
  <c r="Z236" i="18"/>
  <c r="Y236" i="18"/>
  <c r="Z235" i="18"/>
  <c r="Y235" i="18"/>
  <c r="Z234" i="18"/>
  <c r="Y234" i="18"/>
  <c r="Z233" i="18"/>
  <c r="Y233" i="18"/>
  <c r="Z232" i="18"/>
  <c r="Y232" i="18"/>
  <c r="Z231" i="18"/>
  <c r="Y231" i="18"/>
  <c r="Z230" i="18"/>
  <c r="Y230" i="18"/>
  <c r="Z229" i="18"/>
  <c r="Y229" i="18"/>
  <c r="Z228" i="18"/>
  <c r="Y228" i="18"/>
  <c r="Z227" i="18"/>
  <c r="Z226" i="18"/>
  <c r="Y226" i="18"/>
  <c r="Z225" i="18"/>
  <c r="Y225" i="18"/>
  <c r="Z224" i="18"/>
  <c r="Y224" i="18"/>
  <c r="Z223" i="18"/>
  <c r="Y223" i="18"/>
  <c r="Z222" i="18"/>
  <c r="Y222" i="18"/>
  <c r="Z221" i="18"/>
  <c r="Y221" i="18"/>
  <c r="Z220" i="18"/>
  <c r="Y220" i="18"/>
  <c r="Z219" i="18"/>
  <c r="Y219" i="18"/>
  <c r="Z218" i="18"/>
  <c r="Y218" i="18"/>
  <c r="Z217" i="18"/>
  <c r="Y217" i="18"/>
  <c r="Z216" i="18"/>
  <c r="Y216" i="18"/>
  <c r="Z215" i="18"/>
  <c r="Z214" i="18"/>
  <c r="Y214" i="18"/>
  <c r="Z213" i="18"/>
  <c r="Y213" i="18"/>
  <c r="Z212" i="18"/>
  <c r="Y212" i="18"/>
  <c r="Z211" i="18"/>
  <c r="Y211" i="18"/>
  <c r="Z210" i="18"/>
  <c r="Y210" i="18"/>
  <c r="Z209" i="18"/>
  <c r="Y209" i="18"/>
  <c r="Z208" i="18"/>
  <c r="Y208" i="18"/>
  <c r="Z207" i="18"/>
  <c r="Y207" i="18"/>
  <c r="Z206" i="18"/>
  <c r="Y206" i="18"/>
  <c r="Z205" i="18"/>
  <c r="Y205" i="18"/>
  <c r="Z204" i="18"/>
  <c r="Y204" i="18"/>
  <c r="Z203" i="18"/>
  <c r="Z202" i="18"/>
  <c r="Y202" i="18"/>
  <c r="Z201" i="18"/>
  <c r="Y201" i="18"/>
  <c r="Z200" i="18"/>
  <c r="Y200" i="18"/>
  <c r="Z199" i="18"/>
  <c r="Y199" i="18"/>
  <c r="Z198" i="18"/>
  <c r="Y198" i="18"/>
  <c r="Z197" i="18"/>
  <c r="Y197" i="18"/>
  <c r="Z196" i="18"/>
  <c r="Y196" i="18"/>
  <c r="Z195" i="18"/>
  <c r="Y195" i="18"/>
  <c r="Z194" i="18"/>
  <c r="Y194" i="18"/>
  <c r="Z193" i="18"/>
  <c r="Z192" i="18"/>
  <c r="Y192" i="18"/>
  <c r="Z191" i="18"/>
  <c r="Y191" i="18"/>
  <c r="Z190" i="18"/>
  <c r="Y190" i="18"/>
  <c r="Z189" i="18"/>
  <c r="Y189" i="18"/>
  <c r="Z188" i="18"/>
  <c r="Y188" i="18"/>
  <c r="Z187" i="18"/>
  <c r="Y187" i="18"/>
  <c r="Z186" i="18"/>
  <c r="Y186" i="18"/>
  <c r="Z185" i="18"/>
  <c r="Y185" i="18"/>
  <c r="Z184" i="18"/>
  <c r="Y184" i="18"/>
  <c r="Z183" i="18"/>
  <c r="Z182" i="18"/>
  <c r="Y182" i="18"/>
  <c r="Z181" i="18"/>
  <c r="Y181" i="18"/>
  <c r="Z180" i="18"/>
  <c r="Y180" i="18"/>
  <c r="Z179" i="18"/>
  <c r="Y179" i="18"/>
  <c r="Z178" i="18"/>
  <c r="Y178" i="18"/>
  <c r="Z177" i="18"/>
  <c r="Y177" i="18"/>
  <c r="Z176" i="18"/>
  <c r="Y176" i="18"/>
  <c r="Z175" i="18"/>
  <c r="Y175" i="18"/>
  <c r="Z174" i="18"/>
  <c r="Y174" i="18"/>
  <c r="Z173" i="18"/>
  <c r="Z172" i="18"/>
  <c r="Y172" i="18"/>
  <c r="Z171" i="18"/>
  <c r="Y171" i="18"/>
  <c r="Z170" i="18"/>
  <c r="Y170" i="18"/>
  <c r="Z169" i="18"/>
  <c r="Y169" i="18"/>
  <c r="Z168" i="18"/>
  <c r="Y168" i="18"/>
  <c r="Z167" i="18"/>
  <c r="Y167" i="18"/>
  <c r="Z166" i="18"/>
  <c r="Y166" i="18"/>
  <c r="Z165" i="18"/>
  <c r="Y165" i="18"/>
  <c r="Z164" i="18"/>
  <c r="Y164" i="18"/>
  <c r="Z163" i="18"/>
  <c r="Z162" i="18"/>
  <c r="Y162" i="18"/>
  <c r="Z161" i="18"/>
  <c r="Y161" i="18"/>
  <c r="Z160" i="18"/>
  <c r="Y160" i="18"/>
  <c r="Z159" i="18"/>
  <c r="Y159" i="18"/>
  <c r="Z158" i="18"/>
  <c r="Y158" i="18"/>
  <c r="Z157" i="18"/>
  <c r="Y157" i="18"/>
  <c r="Z156" i="18"/>
  <c r="Y156" i="18"/>
  <c r="Z155" i="18"/>
  <c r="Y155" i="18"/>
  <c r="Z154" i="18"/>
  <c r="Y154" i="18"/>
  <c r="Z153" i="18"/>
  <c r="Y153" i="18"/>
  <c r="Z152" i="18"/>
  <c r="Y152" i="18"/>
  <c r="Z151" i="18"/>
  <c r="Z150" i="18"/>
  <c r="Y150" i="18"/>
  <c r="Z149" i="18"/>
  <c r="Y149" i="18"/>
  <c r="Z148" i="18"/>
  <c r="Y148" i="18"/>
  <c r="Z147" i="18"/>
  <c r="Y147" i="18"/>
  <c r="Z146" i="18"/>
  <c r="Y146" i="18"/>
  <c r="Z145" i="18"/>
  <c r="Y145" i="18"/>
  <c r="Z144" i="18"/>
  <c r="Y144" i="18"/>
  <c r="Z143" i="18"/>
  <c r="Y143" i="18"/>
  <c r="Z142" i="18"/>
  <c r="Z141" i="18"/>
  <c r="Y141" i="18"/>
  <c r="Z140" i="18"/>
  <c r="Y140" i="18"/>
  <c r="Z139" i="18"/>
  <c r="Y139" i="18"/>
  <c r="Z138" i="18"/>
  <c r="Y138" i="18"/>
  <c r="Z137" i="18"/>
  <c r="Y137" i="18"/>
  <c r="Z136" i="18"/>
  <c r="Y136" i="18"/>
  <c r="Z135" i="18"/>
  <c r="Y135" i="18"/>
  <c r="Z134" i="18"/>
  <c r="Y134" i="18"/>
  <c r="Z133" i="18"/>
  <c r="Z132" i="18"/>
  <c r="Y132" i="18"/>
  <c r="Z131" i="18"/>
  <c r="Y131" i="18"/>
  <c r="Z130" i="18"/>
  <c r="Y130" i="18"/>
  <c r="Z129" i="18"/>
  <c r="Y129" i="18"/>
  <c r="Z128" i="18"/>
  <c r="Y128" i="18"/>
  <c r="Z127" i="18"/>
  <c r="Y127" i="18"/>
  <c r="Z126" i="18"/>
  <c r="Y126" i="18"/>
  <c r="Z125" i="18"/>
  <c r="Y125" i="18"/>
  <c r="Z124" i="18"/>
  <c r="Z123" i="18"/>
  <c r="Y123" i="18"/>
  <c r="Z122" i="18"/>
  <c r="Y122" i="18"/>
  <c r="Y121" i="18"/>
  <c r="Z120" i="18"/>
  <c r="Y120" i="18"/>
  <c r="Z119" i="18"/>
  <c r="Y119" i="18"/>
  <c r="Z118" i="18"/>
  <c r="Y118" i="18"/>
  <c r="Z117" i="18"/>
  <c r="Y117" i="18"/>
  <c r="Z116" i="18"/>
  <c r="Y116" i="18"/>
  <c r="Z115" i="18"/>
  <c r="Y115" i="18"/>
  <c r="Z114" i="18"/>
  <c r="Y114" i="18"/>
  <c r="Z113" i="18"/>
  <c r="Y113" i="18"/>
  <c r="Y112" i="18"/>
  <c r="Z111" i="18"/>
  <c r="Y111" i="18"/>
  <c r="Z110" i="18"/>
  <c r="Y110" i="18"/>
  <c r="Z109" i="18"/>
  <c r="Y109" i="18"/>
  <c r="Z108" i="18"/>
  <c r="Y108" i="18"/>
  <c r="Z107" i="18"/>
  <c r="Y107" i="18"/>
  <c r="Z106" i="18"/>
  <c r="Y106" i="18"/>
  <c r="Z105" i="18"/>
  <c r="Y105" i="18"/>
  <c r="Z104" i="18"/>
  <c r="Y104" i="18"/>
  <c r="Y103" i="18"/>
  <c r="Z102" i="18"/>
  <c r="Y102" i="18"/>
  <c r="Z101" i="18"/>
  <c r="Y101" i="18"/>
  <c r="Z100" i="18"/>
  <c r="Y100" i="18"/>
  <c r="Z99" i="18"/>
  <c r="Y99" i="18"/>
  <c r="Z98" i="18"/>
  <c r="Y98" i="18"/>
  <c r="Z97" i="18"/>
  <c r="Y97" i="18"/>
  <c r="Z96" i="18"/>
  <c r="Y96" i="18"/>
  <c r="Z95" i="18"/>
  <c r="Y95" i="18"/>
  <c r="Y94" i="18"/>
  <c r="Z93" i="18"/>
  <c r="Y93" i="18"/>
  <c r="Z92" i="18"/>
  <c r="Y92" i="18"/>
  <c r="Z91" i="18"/>
  <c r="Y91" i="18"/>
  <c r="Z90" i="18"/>
  <c r="Y90" i="18"/>
  <c r="Z89" i="18"/>
  <c r="Y89" i="18"/>
  <c r="Z88" i="18"/>
  <c r="Y88" i="18"/>
  <c r="Z87" i="18"/>
  <c r="Y87" i="18"/>
  <c r="Z86" i="18"/>
  <c r="Y86" i="18"/>
  <c r="Z85" i="18"/>
  <c r="Y85" i="18"/>
  <c r="Z84" i="18"/>
  <c r="Y84" i="18"/>
  <c r="Z83" i="18"/>
  <c r="Y83" i="18"/>
  <c r="Z82" i="18"/>
  <c r="Y82" i="18"/>
  <c r="Z81" i="18"/>
  <c r="Y81" i="18"/>
  <c r="Z80" i="18"/>
  <c r="Y80" i="18"/>
  <c r="Z79" i="18"/>
  <c r="Y79" i="18"/>
  <c r="Y78" i="18"/>
  <c r="Z77" i="18"/>
  <c r="Y77" i="18"/>
  <c r="Z76" i="18"/>
  <c r="Y76" i="18"/>
  <c r="Z75" i="18"/>
  <c r="Y75" i="18"/>
  <c r="Z74" i="18"/>
  <c r="Y74" i="18"/>
  <c r="Z66" i="18"/>
  <c r="Y66" i="18"/>
  <c r="Z65" i="18"/>
  <c r="Y65" i="18"/>
  <c r="Z64" i="18"/>
  <c r="Y64" i="18"/>
  <c r="Z63" i="18"/>
  <c r="Y63" i="18"/>
  <c r="Z62" i="18"/>
  <c r="Y62" i="18"/>
  <c r="Z61" i="18"/>
  <c r="Y61" i="18"/>
  <c r="Z60" i="18"/>
  <c r="Y60" i="18"/>
  <c r="Z59" i="18"/>
  <c r="Y59" i="18"/>
  <c r="Z58" i="18"/>
  <c r="Y58" i="18"/>
  <c r="Y57" i="18"/>
  <c r="Z56" i="18"/>
  <c r="Y56" i="18"/>
  <c r="Z55" i="18"/>
  <c r="Y55" i="18"/>
  <c r="Z54" i="18"/>
  <c r="Y54" i="18"/>
  <c r="Z53" i="18"/>
  <c r="Y53" i="18"/>
  <c r="Z45" i="18"/>
  <c r="Y45" i="18"/>
  <c r="Z44" i="18"/>
  <c r="Y44" i="18"/>
  <c r="Z43" i="18"/>
  <c r="Y43" i="18"/>
  <c r="Z42" i="18"/>
  <c r="Y42" i="18"/>
  <c r="Z41" i="18"/>
  <c r="Y41" i="18"/>
  <c r="Z40" i="18"/>
  <c r="Y40" i="18"/>
  <c r="Z39" i="18"/>
  <c r="Y39" i="18"/>
  <c r="Z38" i="18"/>
  <c r="Y38" i="18"/>
  <c r="Z37" i="18"/>
  <c r="Y37" i="18"/>
  <c r="Y36" i="18"/>
  <c r="Z35" i="18"/>
  <c r="Y35" i="18"/>
  <c r="Z34" i="18"/>
  <c r="Y34" i="18"/>
  <c r="Z33" i="18"/>
  <c r="Y33" i="18"/>
  <c r="Z32" i="18"/>
  <c r="Y32" i="18"/>
  <c r="Z31" i="18"/>
  <c r="Y31" i="18"/>
  <c r="Z30" i="18"/>
  <c r="Y30" i="18"/>
  <c r="Z29" i="18"/>
  <c r="Y29" i="18"/>
  <c r="Z28" i="18"/>
  <c r="Y28" i="18"/>
  <c r="Z27" i="18"/>
  <c r="Y27" i="18"/>
  <c r="Z24" i="18"/>
  <c r="Y24" i="18"/>
  <c r="Z23" i="18"/>
  <c r="Y23" i="18"/>
  <c r="Z22" i="18"/>
  <c r="Y22" i="18"/>
  <c r="Z21" i="18"/>
  <c r="Y21" i="18"/>
  <c r="Z20" i="18"/>
  <c r="Y20" i="18"/>
  <c r="Z19" i="18"/>
  <c r="Y19" i="18"/>
  <c r="Z18" i="18"/>
  <c r="Y18" i="18"/>
  <c r="Z17" i="18"/>
  <c r="Y17" i="18"/>
  <c r="Z16" i="18"/>
  <c r="Y16" i="18"/>
  <c r="Y15" i="18"/>
  <c r="Z14" i="18"/>
  <c r="Y14" i="18"/>
  <c r="Z13" i="18"/>
  <c r="Y13" i="18"/>
  <c r="Z12" i="18"/>
  <c r="Y12" i="18"/>
  <c r="Z11" i="18"/>
  <c r="Y11" i="18"/>
  <c r="Z10" i="18"/>
  <c r="Y10" i="18"/>
  <c r="Z9" i="18"/>
  <c r="Y9" i="18"/>
  <c r="Z8" i="18"/>
  <c r="Y8" i="18"/>
  <c r="Z7" i="18"/>
  <c r="Y7" i="18"/>
  <c r="Z6" i="18"/>
  <c r="Y6" i="18"/>
  <c r="Z3" i="18"/>
  <c r="Y3" i="18"/>
  <c r="O27" i="18"/>
  <c r="O28" i="18" s="1"/>
  <c r="S28" i="18" s="1"/>
  <c r="T28" i="18" s="1"/>
  <c r="U28" i="18" s="1"/>
  <c r="V28" i="18" s="1"/>
  <c r="O6" i="18"/>
  <c r="O10" i="18" s="1"/>
  <c r="W31" i="18"/>
  <c r="Q31" i="18"/>
  <c r="X30" i="18"/>
  <c r="W30" i="18"/>
  <c r="Q30" i="18"/>
  <c r="X29" i="18"/>
  <c r="W29" i="18"/>
  <c r="X28" i="18"/>
  <c r="W28" i="18"/>
  <c r="X27" i="18"/>
  <c r="W10" i="18"/>
  <c r="Q10" i="18"/>
  <c r="X9" i="18"/>
  <c r="W9" i="18"/>
  <c r="Q9" i="18"/>
  <c r="X8" i="18"/>
  <c r="W8" i="18"/>
  <c r="Q8" i="18"/>
  <c r="X7" i="18"/>
  <c r="W7" i="18"/>
  <c r="X6" i="18"/>
  <c r="S2" i="18"/>
  <c r="Q65" i="18"/>
  <c r="S65" i="18" s="1"/>
  <c r="Q44" i="18"/>
  <c r="S44" i="18" s="1"/>
  <c r="Q23" i="18"/>
  <c r="S23" i="18" s="1"/>
  <c r="O31" i="18" l="1"/>
  <c r="S31" i="18" s="1"/>
  <c r="T31" i="18" s="1"/>
  <c r="U31" i="18" s="1"/>
  <c r="V31" i="18" s="1"/>
  <c r="O29" i="18"/>
  <c r="O30" i="18" s="1"/>
  <c r="S30" i="18" s="1"/>
  <c r="T30" i="18" s="1"/>
  <c r="U30" i="18" s="1"/>
  <c r="V30" i="18" s="1"/>
  <c r="S10" i="18"/>
  <c r="X10" i="18" s="1"/>
  <c r="Q71" i="18"/>
  <c r="S71" i="18" s="1"/>
  <c r="T71" i="18" s="1"/>
  <c r="U71" i="18" s="1"/>
  <c r="V71" i="18" s="1"/>
  <c r="O72" i="18"/>
  <c r="S72" i="18" s="1"/>
  <c r="T72" i="18" s="1"/>
  <c r="U72" i="18" s="1"/>
  <c r="V72" i="18" s="1"/>
  <c r="O73" i="18"/>
  <c r="S73" i="18" s="1"/>
  <c r="O70" i="18"/>
  <c r="S70" i="18" s="1"/>
  <c r="T70" i="18" s="1"/>
  <c r="U70" i="18" s="1"/>
  <c r="V70" i="18" s="1"/>
  <c r="Q50" i="18"/>
  <c r="S50" i="18" s="1"/>
  <c r="T50" i="18" s="1"/>
  <c r="U50" i="18" s="1"/>
  <c r="V50" i="18" s="1"/>
  <c r="O8" i="18"/>
  <c r="O9" i="18" s="1"/>
  <c r="S9" i="18" s="1"/>
  <c r="T9" i="18" s="1"/>
  <c r="U9" i="18" s="1"/>
  <c r="V9" i="18" s="1"/>
  <c r="O51" i="18"/>
  <c r="S51" i="18" s="1"/>
  <c r="T51" i="18" s="1"/>
  <c r="U51" i="18" s="1"/>
  <c r="V51" i="18" s="1"/>
  <c r="O52" i="18"/>
  <c r="S52" i="18" s="1"/>
  <c r="O49" i="18"/>
  <c r="S49" i="18" s="1"/>
  <c r="T49" i="18" s="1"/>
  <c r="U49" i="18" s="1"/>
  <c r="V49" i="18" s="1"/>
  <c r="Q29" i="18"/>
  <c r="O7" i="18"/>
  <c r="Q3" i="18"/>
  <c r="X152" i="18"/>
  <c r="W152" i="18"/>
  <c r="S152" i="18"/>
  <c r="T152" i="18" s="1"/>
  <c r="U152" i="18" s="1"/>
  <c r="V152" i="18" s="1"/>
  <c r="X143" i="18"/>
  <c r="W143" i="18"/>
  <c r="S143" i="18"/>
  <c r="T143" i="18" s="1"/>
  <c r="U143" i="18" s="1"/>
  <c r="V143" i="18" s="1"/>
  <c r="X134" i="18"/>
  <c r="W134" i="18"/>
  <c r="S134" i="18"/>
  <c r="T134" i="18" s="1"/>
  <c r="U134" i="18" s="1"/>
  <c r="V134" i="18" s="1"/>
  <c r="X125" i="18"/>
  <c r="W125" i="18"/>
  <c r="S125" i="18"/>
  <c r="T125" i="18" s="1"/>
  <c r="U125" i="18" s="1"/>
  <c r="V125" i="18" s="1"/>
  <c r="Q234" i="18"/>
  <c r="Q235" i="18" s="1"/>
  <c r="Q222" i="18"/>
  <c r="Q210" i="18"/>
  <c r="Q211" i="18" s="1"/>
  <c r="Q198" i="18"/>
  <c r="Q188" i="18"/>
  <c r="Q178" i="18"/>
  <c r="Q168" i="18"/>
  <c r="Q158" i="18"/>
  <c r="Q95" i="18"/>
  <c r="Q104" i="18"/>
  <c r="Q113" i="18"/>
  <c r="Q96" i="18"/>
  <c r="Q74" i="18"/>
  <c r="Q53" i="18"/>
  <c r="Q32" i="18"/>
  <c r="O238" i="18"/>
  <c r="O226" i="18"/>
  <c r="O214" i="18"/>
  <c r="X310" i="18"/>
  <c r="W310" i="18"/>
  <c r="S310" i="18"/>
  <c r="T310" i="18" s="1"/>
  <c r="U310" i="18" s="1"/>
  <c r="V310" i="18" s="1"/>
  <c r="X311" i="18"/>
  <c r="W311" i="18"/>
  <c r="S311" i="18"/>
  <c r="T311" i="18" s="1"/>
  <c r="U311" i="18" s="1"/>
  <c r="V311" i="18" s="1"/>
  <c r="X312" i="18"/>
  <c r="W312" i="18"/>
  <c r="S312" i="18"/>
  <c r="T312" i="18" s="1"/>
  <c r="U312" i="18" s="1"/>
  <c r="V312" i="18" s="1"/>
  <c r="W333" i="18"/>
  <c r="W332" i="18"/>
  <c r="W331" i="18"/>
  <c r="W330" i="18"/>
  <c r="W321" i="18"/>
  <c r="W320" i="18"/>
  <c r="W319" i="18"/>
  <c r="W318" i="18"/>
  <c r="W317" i="18"/>
  <c r="W316" i="18"/>
  <c r="W315" i="18"/>
  <c r="W314" i="18"/>
  <c r="W313" i="18"/>
  <c r="W309" i="18"/>
  <c r="W308" i="18"/>
  <c r="W307" i="18"/>
  <c r="W306" i="18"/>
  <c r="W305" i="18"/>
  <c r="W304" i="18"/>
  <c r="W303" i="18"/>
  <c r="W302" i="18"/>
  <c r="W301" i="18"/>
  <c r="W300" i="18"/>
  <c r="W299" i="18"/>
  <c r="W298" i="18"/>
  <c r="W297" i="18"/>
  <c r="W296" i="18"/>
  <c r="W295" i="18"/>
  <c r="W294" i="18"/>
  <c r="W293" i="18"/>
  <c r="W292" i="18"/>
  <c r="W291" i="18"/>
  <c r="W290" i="18"/>
  <c r="W289" i="18"/>
  <c r="W288" i="18"/>
  <c r="W287" i="18"/>
  <c r="W286" i="18"/>
  <c r="W285" i="18"/>
  <c r="W284" i="18"/>
  <c r="W283" i="18"/>
  <c r="W282" i="18"/>
  <c r="W281" i="18"/>
  <c r="W280" i="18"/>
  <c r="W279" i="18"/>
  <c r="W278" i="18"/>
  <c r="W277" i="18"/>
  <c r="W276" i="18"/>
  <c r="W275" i="18"/>
  <c r="W274" i="18"/>
  <c r="W273" i="18"/>
  <c r="W272" i="18"/>
  <c r="W271" i="18"/>
  <c r="W270" i="18"/>
  <c r="W269" i="18"/>
  <c r="W268" i="18"/>
  <c r="W267" i="18"/>
  <c r="W266" i="18"/>
  <c r="W265" i="18"/>
  <c r="W264" i="18"/>
  <c r="W263" i="18"/>
  <c r="W262" i="18"/>
  <c r="W261" i="18"/>
  <c r="W260" i="18"/>
  <c r="W259" i="18"/>
  <c r="W258" i="18"/>
  <c r="W257" i="18"/>
  <c r="W256" i="18"/>
  <c r="W255" i="18"/>
  <c r="W254" i="18"/>
  <c r="W253" i="18"/>
  <c r="W252" i="18"/>
  <c r="W251" i="18"/>
  <c r="W250" i="18"/>
  <c r="W249" i="18"/>
  <c r="W248" i="18"/>
  <c r="W247" i="18"/>
  <c r="W246" i="18"/>
  <c r="W245" i="18"/>
  <c r="W244" i="18"/>
  <c r="W243" i="18"/>
  <c r="W242" i="18"/>
  <c r="W241" i="18"/>
  <c r="W240" i="18"/>
  <c r="W239" i="18"/>
  <c r="W238" i="18"/>
  <c r="W237" i="18"/>
  <c r="W236" i="18"/>
  <c r="W235" i="18"/>
  <c r="W234" i="18"/>
  <c r="W233" i="18"/>
  <c r="W232" i="18"/>
  <c r="W231" i="18"/>
  <c r="W230" i="18"/>
  <c r="W229" i="18"/>
  <c r="W228" i="18"/>
  <c r="W227" i="18"/>
  <c r="W226" i="18"/>
  <c r="W225" i="18"/>
  <c r="W224" i="18"/>
  <c r="W223" i="18"/>
  <c r="W222" i="18"/>
  <c r="W221" i="18"/>
  <c r="W220" i="18"/>
  <c r="W219" i="18"/>
  <c r="W218" i="18"/>
  <c r="W217" i="18"/>
  <c r="W216" i="18"/>
  <c r="W215" i="18"/>
  <c r="W214" i="18"/>
  <c r="W213" i="18"/>
  <c r="W212" i="18"/>
  <c r="W211" i="18"/>
  <c r="W210" i="18"/>
  <c r="W209" i="18"/>
  <c r="W208" i="18"/>
  <c r="W207" i="18"/>
  <c r="W206" i="18"/>
  <c r="W205" i="18"/>
  <c r="W204" i="18"/>
  <c r="W203" i="18"/>
  <c r="W202" i="18"/>
  <c r="W201" i="18"/>
  <c r="W200" i="18"/>
  <c r="W199" i="18"/>
  <c r="W198" i="18"/>
  <c r="W197" i="18"/>
  <c r="W196" i="18"/>
  <c r="W195" i="18"/>
  <c r="W194" i="18"/>
  <c r="W193" i="18"/>
  <c r="W192" i="18"/>
  <c r="W191" i="18"/>
  <c r="W190" i="18"/>
  <c r="W189" i="18"/>
  <c r="W188" i="18"/>
  <c r="W187" i="18"/>
  <c r="W186" i="18"/>
  <c r="W185" i="18"/>
  <c r="W184" i="18"/>
  <c r="W183" i="18"/>
  <c r="W182" i="18"/>
  <c r="W181" i="18"/>
  <c r="W180" i="18"/>
  <c r="W179" i="18"/>
  <c r="W178" i="18"/>
  <c r="W177" i="18"/>
  <c r="W176" i="18"/>
  <c r="W175" i="18"/>
  <c r="W174" i="18"/>
  <c r="W173" i="18"/>
  <c r="W172" i="18"/>
  <c r="W171" i="18"/>
  <c r="W170" i="18"/>
  <c r="W169" i="18"/>
  <c r="W168" i="18"/>
  <c r="W167" i="18"/>
  <c r="W166" i="18"/>
  <c r="W165" i="18"/>
  <c r="W164" i="18"/>
  <c r="W163" i="18"/>
  <c r="W162" i="18"/>
  <c r="W161" i="18"/>
  <c r="W160" i="18"/>
  <c r="W159" i="18"/>
  <c r="W158" i="18"/>
  <c r="W157" i="18"/>
  <c r="W156" i="18"/>
  <c r="W155" i="18"/>
  <c r="W154" i="18"/>
  <c r="W153" i="18"/>
  <c r="W151" i="18"/>
  <c r="W150" i="18"/>
  <c r="W148" i="18"/>
  <c r="W147" i="18"/>
  <c r="W146" i="18"/>
  <c r="W145" i="18"/>
  <c r="W144" i="18"/>
  <c r="W142" i="18"/>
  <c r="W141" i="18"/>
  <c r="W139" i="18"/>
  <c r="W138" i="18"/>
  <c r="W137" i="18"/>
  <c r="W136" i="18"/>
  <c r="W135" i="18"/>
  <c r="W133" i="18"/>
  <c r="W132" i="18"/>
  <c r="W130" i="18"/>
  <c r="W129" i="18"/>
  <c r="W128" i="18"/>
  <c r="W127" i="18"/>
  <c r="W126" i="18"/>
  <c r="W124" i="18"/>
  <c r="W123" i="18"/>
  <c r="W121" i="18"/>
  <c r="W120" i="18"/>
  <c r="W119" i="18"/>
  <c r="W118" i="18"/>
  <c r="W117" i="18"/>
  <c r="W116" i="18"/>
  <c r="W115" i="18"/>
  <c r="W114" i="18"/>
  <c r="W113" i="18"/>
  <c r="W112" i="18"/>
  <c r="W111" i="18"/>
  <c r="W110" i="18"/>
  <c r="W109" i="18"/>
  <c r="W108" i="18"/>
  <c r="W107" i="18"/>
  <c r="W106" i="18"/>
  <c r="W105" i="18"/>
  <c r="W104" i="18"/>
  <c r="W103" i="18"/>
  <c r="W102" i="18"/>
  <c r="W101" i="18"/>
  <c r="W100" i="18"/>
  <c r="W99" i="18"/>
  <c r="W98" i="18"/>
  <c r="W97" i="18"/>
  <c r="W96" i="18"/>
  <c r="W95" i="18"/>
  <c r="W94" i="18"/>
  <c r="W93" i="18"/>
  <c r="W92" i="18"/>
  <c r="W91" i="18"/>
  <c r="W90" i="18"/>
  <c r="W89" i="18"/>
  <c r="W88" i="18"/>
  <c r="W87" i="18"/>
  <c r="W86" i="18"/>
  <c r="W85" i="18"/>
  <c r="W84" i="18"/>
  <c r="W83" i="18"/>
  <c r="W82" i="18"/>
  <c r="W81" i="18"/>
  <c r="W80" i="18"/>
  <c r="W79" i="18"/>
  <c r="W78" i="18"/>
  <c r="W77" i="18"/>
  <c r="W76" i="18"/>
  <c r="W75" i="18"/>
  <c r="W74" i="18"/>
  <c r="W65" i="18"/>
  <c r="W64" i="18"/>
  <c r="W63" i="18"/>
  <c r="W62" i="18"/>
  <c r="W61" i="18"/>
  <c r="W60" i="18"/>
  <c r="W59" i="18"/>
  <c r="W58" i="18"/>
  <c r="W57" i="18"/>
  <c r="W56" i="18"/>
  <c r="W55" i="18"/>
  <c r="W54" i="18"/>
  <c r="W53" i="18"/>
  <c r="W44" i="18"/>
  <c r="W43" i="18"/>
  <c r="W42" i="18"/>
  <c r="W41" i="18"/>
  <c r="W40" i="18"/>
  <c r="W39" i="18"/>
  <c r="W38" i="18"/>
  <c r="W37" i="18"/>
  <c r="W36" i="18"/>
  <c r="W35" i="18"/>
  <c r="W34" i="18"/>
  <c r="W33" i="18"/>
  <c r="W32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2" i="18"/>
  <c r="X333" i="18"/>
  <c r="X332" i="18"/>
  <c r="X331" i="18"/>
  <c r="X330" i="18"/>
  <c r="X321" i="18"/>
  <c r="X319" i="18"/>
  <c r="X317" i="18"/>
  <c r="X315" i="18"/>
  <c r="X313" i="18"/>
  <c r="X309" i="18"/>
  <c r="X308" i="18"/>
  <c r="X307" i="18"/>
  <c r="X306" i="18"/>
  <c r="X305" i="18"/>
  <c r="X304" i="18"/>
  <c r="X303" i="18"/>
  <c r="X302" i="18"/>
  <c r="X301" i="18"/>
  <c r="X300" i="18"/>
  <c r="X299" i="18"/>
  <c r="X298" i="18"/>
  <c r="X297" i="18"/>
  <c r="X296" i="18"/>
  <c r="X295" i="18"/>
  <c r="X294" i="18"/>
  <c r="X293" i="18"/>
  <c r="X292" i="18"/>
  <c r="X291" i="18"/>
  <c r="X290" i="18"/>
  <c r="X289" i="18"/>
  <c r="X288" i="18"/>
  <c r="X287" i="18"/>
  <c r="X286" i="18"/>
  <c r="X285" i="18"/>
  <c r="X284" i="18"/>
  <c r="X283" i="18"/>
  <c r="X282" i="18"/>
  <c r="X281" i="18"/>
  <c r="X280" i="18"/>
  <c r="X279" i="18"/>
  <c r="X278" i="18"/>
  <c r="X277" i="18"/>
  <c r="X276" i="18"/>
  <c r="X275" i="18"/>
  <c r="X274" i="18"/>
  <c r="X273" i="18"/>
  <c r="X272" i="18"/>
  <c r="X271" i="18"/>
  <c r="X270" i="18"/>
  <c r="X269" i="18"/>
  <c r="X268" i="18"/>
  <c r="X267" i="18"/>
  <c r="X266" i="18"/>
  <c r="X265" i="18"/>
  <c r="X264" i="18"/>
  <c r="X263" i="18"/>
  <c r="X262" i="18"/>
  <c r="X261" i="18"/>
  <c r="X260" i="18"/>
  <c r="X258" i="18"/>
  <c r="X257" i="18"/>
  <c r="X255" i="18"/>
  <c r="X254" i="18"/>
  <c r="X252" i="18"/>
  <c r="X251" i="18"/>
  <c r="X249" i="18"/>
  <c r="X248" i="18"/>
  <c r="X247" i="18"/>
  <c r="X246" i="18"/>
  <c r="X245" i="18"/>
  <c r="X244" i="18"/>
  <c r="X243" i="18"/>
  <c r="X242" i="18"/>
  <c r="X241" i="18"/>
  <c r="X240" i="18"/>
  <c r="X239" i="18"/>
  <c r="X237" i="18"/>
  <c r="X236" i="18"/>
  <c r="X235" i="18"/>
  <c r="X234" i="18"/>
  <c r="X233" i="18"/>
  <c r="X232" i="18"/>
  <c r="X231" i="18"/>
  <c r="X230" i="18"/>
  <c r="X229" i="18"/>
  <c r="X228" i="18"/>
  <c r="X227" i="18"/>
  <c r="X225" i="18"/>
  <c r="X224" i="18"/>
  <c r="X223" i="18"/>
  <c r="X222" i="18"/>
  <c r="X221" i="18"/>
  <c r="X220" i="18"/>
  <c r="X219" i="18"/>
  <c r="X218" i="18"/>
  <c r="X217" i="18"/>
  <c r="X216" i="18"/>
  <c r="X215" i="18"/>
  <c r="X213" i="18"/>
  <c r="X212" i="18"/>
  <c r="X211" i="18"/>
  <c r="X210" i="18"/>
  <c r="X209" i="18"/>
  <c r="X208" i="18"/>
  <c r="X207" i="18"/>
  <c r="X206" i="18"/>
  <c r="X205" i="18"/>
  <c r="X204" i="18"/>
  <c r="X203" i="18"/>
  <c r="X201" i="18"/>
  <c r="X200" i="18"/>
  <c r="X199" i="18"/>
  <c r="X198" i="18"/>
  <c r="X197" i="18"/>
  <c r="X196" i="18"/>
  <c r="X195" i="18"/>
  <c r="X194" i="18"/>
  <c r="X193" i="18"/>
  <c r="X192" i="18"/>
  <c r="X190" i="18"/>
  <c r="X189" i="18"/>
  <c r="X188" i="18"/>
  <c r="X187" i="18"/>
  <c r="X186" i="18"/>
  <c r="X185" i="18"/>
  <c r="X184" i="18"/>
  <c r="X183" i="18"/>
  <c r="X182" i="18"/>
  <c r="X180" i="18"/>
  <c r="X179" i="18"/>
  <c r="X178" i="18"/>
  <c r="X177" i="18"/>
  <c r="X176" i="18"/>
  <c r="X175" i="18"/>
  <c r="X174" i="18"/>
  <c r="X173" i="18"/>
  <c r="X172" i="18"/>
  <c r="X170" i="18"/>
  <c r="X169" i="18"/>
  <c r="X168" i="18"/>
  <c r="X167" i="18"/>
  <c r="X166" i="18"/>
  <c r="X165" i="18"/>
  <c r="X164" i="18"/>
  <c r="X163" i="18"/>
  <c r="X162" i="18"/>
  <c r="X160" i="18"/>
  <c r="X159" i="18"/>
  <c r="X158" i="18"/>
  <c r="X157" i="18"/>
  <c r="X156" i="18"/>
  <c r="X153" i="18"/>
  <c r="X151" i="18"/>
  <c r="X150" i="18"/>
  <c r="X149" i="18"/>
  <c r="X148" i="18"/>
  <c r="X147" i="18"/>
  <c r="X144" i="18"/>
  <c r="X142" i="18"/>
  <c r="X141" i="18"/>
  <c r="X140" i="18"/>
  <c r="X139" i="18"/>
  <c r="X138" i="18"/>
  <c r="X135" i="18"/>
  <c r="X133" i="18"/>
  <c r="X132" i="18"/>
  <c r="X131" i="18"/>
  <c r="X130" i="18"/>
  <c r="X129" i="18"/>
  <c r="X126" i="18"/>
  <c r="X124" i="18"/>
  <c r="X123" i="18"/>
  <c r="X122" i="18"/>
  <c r="X121" i="18"/>
  <c r="X120" i="18"/>
  <c r="X115" i="18"/>
  <c r="X114" i="18"/>
  <c r="X113" i="18"/>
  <c r="X112" i="18"/>
  <c r="X111" i="18"/>
  <c r="X106" i="18"/>
  <c r="X105" i="18"/>
  <c r="X104" i="18"/>
  <c r="X103" i="18"/>
  <c r="X102" i="18"/>
  <c r="X97" i="18"/>
  <c r="X96" i="18"/>
  <c r="X95" i="18"/>
  <c r="X94" i="18"/>
  <c r="X93" i="18"/>
  <c r="X88" i="18"/>
  <c r="X87" i="18"/>
  <c r="X86" i="18"/>
  <c r="X85" i="18"/>
  <c r="X84" i="18"/>
  <c r="X83" i="18"/>
  <c r="X82" i="18"/>
  <c r="X78" i="18"/>
  <c r="X77" i="18"/>
  <c r="X76" i="18"/>
  <c r="X75" i="18"/>
  <c r="X74" i="18"/>
  <c r="X66" i="18"/>
  <c r="X65" i="18"/>
  <c r="X64" i="18"/>
  <c r="X63" i="18"/>
  <c r="X62" i="18"/>
  <c r="X61" i="18"/>
  <c r="X57" i="18"/>
  <c r="X56" i="18"/>
  <c r="X55" i="18"/>
  <c r="X54" i="18"/>
  <c r="X53" i="18"/>
  <c r="X45" i="18"/>
  <c r="X44" i="18"/>
  <c r="X43" i="18"/>
  <c r="X42" i="18"/>
  <c r="X41" i="18"/>
  <c r="X40" i="18"/>
  <c r="X36" i="18"/>
  <c r="X35" i="18"/>
  <c r="X34" i="18"/>
  <c r="X33" i="18"/>
  <c r="X32" i="18"/>
  <c r="X24" i="18"/>
  <c r="X23" i="18"/>
  <c r="X22" i="18"/>
  <c r="X21" i="18"/>
  <c r="X20" i="18"/>
  <c r="X19" i="18"/>
  <c r="X15" i="18"/>
  <c r="X14" i="18"/>
  <c r="X13" i="18"/>
  <c r="X12" i="18"/>
  <c r="X11" i="18"/>
  <c r="X3" i="18"/>
  <c r="Q242" i="18"/>
  <c r="S242" i="18" s="1"/>
  <c r="T242" i="18" s="1"/>
  <c r="U242" i="18" s="1"/>
  <c r="V242" i="18" s="1"/>
  <c r="Q241" i="18"/>
  <c r="Q240" i="18"/>
  <c r="Q230" i="18"/>
  <c r="S230" i="18" s="1"/>
  <c r="T230" i="18" s="1"/>
  <c r="U230" i="18" s="1"/>
  <c r="V230" i="18" s="1"/>
  <c r="Q229" i="18"/>
  <c r="Q228" i="18"/>
  <c r="Q218" i="18"/>
  <c r="S218" i="18" s="1"/>
  <c r="T218" i="18" s="1"/>
  <c r="U218" i="18" s="1"/>
  <c r="V218" i="18" s="1"/>
  <c r="Q217" i="18"/>
  <c r="Q216" i="18"/>
  <c r="O194" i="18"/>
  <c r="O202" i="18"/>
  <c r="O245" i="18"/>
  <c r="S245" i="18" s="1"/>
  <c r="T245" i="18" s="1"/>
  <c r="U245" i="18" s="1"/>
  <c r="V245" i="18" s="1"/>
  <c r="O240" i="18"/>
  <c r="O241" i="18" s="1"/>
  <c r="S239" i="18"/>
  <c r="T239" i="18" s="1"/>
  <c r="Y239" i="18" s="1"/>
  <c r="Q238" i="18"/>
  <c r="Q237" i="18"/>
  <c r="S237" i="18" s="1"/>
  <c r="T237" i="18" s="1"/>
  <c r="U237" i="18" s="1"/>
  <c r="V237" i="18" s="1"/>
  <c r="S236" i="18"/>
  <c r="T236" i="18" s="1"/>
  <c r="U236" i="18" s="1"/>
  <c r="V236" i="18" s="1"/>
  <c r="O235" i="18"/>
  <c r="O233" i="18"/>
  <c r="S233" i="18" s="1"/>
  <c r="T233" i="18" s="1"/>
  <c r="U233" i="18" s="1"/>
  <c r="V233" i="18" s="1"/>
  <c r="O228" i="18"/>
  <c r="O229" i="18" s="1"/>
  <c r="S227" i="18"/>
  <c r="T227" i="18" s="1"/>
  <c r="Y227" i="18" s="1"/>
  <c r="Q226" i="18"/>
  <c r="Q225" i="18"/>
  <c r="S225" i="18" s="1"/>
  <c r="T225" i="18" s="1"/>
  <c r="U225" i="18" s="1"/>
  <c r="V225" i="18" s="1"/>
  <c r="S224" i="18"/>
  <c r="T224" i="18" s="1"/>
  <c r="U224" i="18" s="1"/>
  <c r="V224" i="18" s="1"/>
  <c r="O223" i="18"/>
  <c r="Q223" i="18"/>
  <c r="O221" i="18"/>
  <c r="S221" i="18" s="1"/>
  <c r="T221" i="18" s="1"/>
  <c r="U221" i="18" s="1"/>
  <c r="V221" i="18" s="1"/>
  <c r="O216" i="18"/>
  <c r="O217" i="18" s="1"/>
  <c r="S215" i="18"/>
  <c r="T215" i="18" s="1"/>
  <c r="Y215" i="18" s="1"/>
  <c r="Q214" i="18"/>
  <c r="Q213" i="18"/>
  <c r="S213" i="18" s="1"/>
  <c r="T213" i="18" s="1"/>
  <c r="U213" i="18" s="1"/>
  <c r="V213" i="18" s="1"/>
  <c r="S212" i="18"/>
  <c r="T212" i="18" s="1"/>
  <c r="U212" i="18" s="1"/>
  <c r="V212" i="18" s="1"/>
  <c r="O211" i="18"/>
  <c r="S203" i="18"/>
  <c r="O204" i="18"/>
  <c r="O184" i="18"/>
  <c r="O185" i="18" s="1"/>
  <c r="O174" i="18"/>
  <c r="O175" i="18" s="1"/>
  <c r="O164" i="18"/>
  <c r="S29" i="18" l="1"/>
  <c r="T29" i="18" s="1"/>
  <c r="U29" i="18" s="1"/>
  <c r="V29" i="18" s="1"/>
  <c r="X31" i="18"/>
  <c r="S8" i="18"/>
  <c r="T8" i="18" s="1"/>
  <c r="U8" i="18" s="1"/>
  <c r="V8" i="18" s="1"/>
  <c r="T10" i="18"/>
  <c r="U10" i="18" s="1"/>
  <c r="V10" i="18" s="1"/>
  <c r="X73" i="18"/>
  <c r="T73" i="18"/>
  <c r="U73" i="18" s="1"/>
  <c r="V73" i="18" s="1"/>
  <c r="X52" i="18"/>
  <c r="T52" i="18"/>
  <c r="U52" i="18" s="1"/>
  <c r="V52" i="18" s="1"/>
  <c r="S7" i="18"/>
  <c r="T7" i="18" s="1"/>
  <c r="U7" i="18" s="1"/>
  <c r="V7" i="18" s="1"/>
  <c r="Q45" i="18"/>
  <c r="Q48" i="18" s="1"/>
  <c r="R48" i="18" s="1"/>
  <c r="Q6" i="18"/>
  <c r="R6" i="18" s="1"/>
  <c r="Q24" i="18"/>
  <c r="Q27" i="18" s="1"/>
  <c r="R27" i="18" s="1"/>
  <c r="Q66" i="18"/>
  <c r="Q69" i="18" s="1"/>
  <c r="R69" i="18" s="1"/>
  <c r="S241" i="18"/>
  <c r="T241" i="18" s="1"/>
  <c r="U241" i="18" s="1"/>
  <c r="V241" i="18" s="1"/>
  <c r="S226" i="18"/>
  <c r="X226" i="18" s="1"/>
  <c r="S238" i="18"/>
  <c r="X238" i="18" s="1"/>
  <c r="S240" i="18"/>
  <c r="T240" i="18" s="1"/>
  <c r="U240" i="18" s="1"/>
  <c r="V240" i="18" s="1"/>
  <c r="S235" i="18"/>
  <c r="T235" i="18" s="1"/>
  <c r="U235" i="18" s="1"/>
  <c r="V235" i="18" s="1"/>
  <c r="S217" i="18"/>
  <c r="T217" i="18" s="1"/>
  <c r="U217" i="18" s="1"/>
  <c r="V217" i="18" s="1"/>
  <c r="U239" i="18"/>
  <c r="V239" i="18" s="1"/>
  <c r="S234" i="18"/>
  <c r="T234" i="18" s="1"/>
  <c r="U234" i="18" s="1"/>
  <c r="V234" i="18" s="1"/>
  <c r="S229" i="18"/>
  <c r="T229" i="18" s="1"/>
  <c r="U229" i="18" s="1"/>
  <c r="V229" i="18" s="1"/>
  <c r="S214" i="18"/>
  <c r="X214" i="18" s="1"/>
  <c r="S223" i="18"/>
  <c r="T223" i="18" s="1"/>
  <c r="U223" i="18" s="1"/>
  <c r="V223" i="18" s="1"/>
  <c r="U227" i="18"/>
  <c r="V227" i="18" s="1"/>
  <c r="S228" i="18"/>
  <c r="T228" i="18" s="1"/>
  <c r="U228" i="18" s="1"/>
  <c r="V228" i="18" s="1"/>
  <c r="S222" i="18"/>
  <c r="T222" i="18" s="1"/>
  <c r="U222" i="18" s="1"/>
  <c r="V222" i="18" s="1"/>
  <c r="S211" i="18"/>
  <c r="T211" i="18" s="1"/>
  <c r="U211" i="18" s="1"/>
  <c r="V211" i="18" s="1"/>
  <c r="U215" i="18"/>
  <c r="V215" i="18" s="1"/>
  <c r="S216" i="18"/>
  <c r="T216" i="18" s="1"/>
  <c r="U216" i="18" s="1"/>
  <c r="V216" i="18" s="1"/>
  <c r="S210" i="18"/>
  <c r="T210" i="18" s="1"/>
  <c r="U210" i="18" s="1"/>
  <c r="V210" i="18" s="1"/>
  <c r="S69" i="18" l="1"/>
  <c r="T69" i="18" s="1"/>
  <c r="U69" i="18" s="1"/>
  <c r="V69" i="18" s="1"/>
  <c r="W69" i="18"/>
  <c r="S48" i="18"/>
  <c r="T48" i="18" s="1"/>
  <c r="U48" i="18" s="1"/>
  <c r="V48" i="18" s="1"/>
  <c r="W48" i="18"/>
  <c r="S27" i="18"/>
  <c r="T27" i="18" s="1"/>
  <c r="U27" i="18" s="1"/>
  <c r="V27" i="18" s="1"/>
  <c r="W27" i="18"/>
  <c r="S6" i="18"/>
  <c r="T6" i="18" s="1"/>
  <c r="U6" i="18" s="1"/>
  <c r="V6" i="18" s="1"/>
  <c r="W6" i="18"/>
  <c r="T226" i="18"/>
  <c r="U226" i="18" s="1"/>
  <c r="V226" i="18" s="1"/>
  <c r="T238" i="18"/>
  <c r="U238" i="18" s="1"/>
  <c r="V238" i="18" s="1"/>
  <c r="T214" i="18"/>
  <c r="U214" i="18" s="1"/>
  <c r="V214" i="18" s="1"/>
  <c r="S197" i="18"/>
  <c r="T197" i="18" s="1"/>
  <c r="U197" i="18" s="1"/>
  <c r="V197" i="18" s="1"/>
  <c r="S194" i="18"/>
  <c r="T194" i="18" s="1"/>
  <c r="U194" i="18" s="1"/>
  <c r="V194" i="18" s="1"/>
  <c r="S193" i="18"/>
  <c r="T193" i="18" s="1"/>
  <c r="Y193" i="18" s="1"/>
  <c r="Q192" i="18"/>
  <c r="Q191" i="18"/>
  <c r="Q189" i="18"/>
  <c r="O189" i="18"/>
  <c r="S187" i="18"/>
  <c r="T187" i="18" s="1"/>
  <c r="U187" i="18" s="1"/>
  <c r="V187" i="18" s="1"/>
  <c r="S184" i="18"/>
  <c r="T184" i="18" s="1"/>
  <c r="U184" i="18" s="1"/>
  <c r="V184" i="18" s="1"/>
  <c r="S183" i="18"/>
  <c r="T183" i="18" s="1"/>
  <c r="Y183" i="18" s="1"/>
  <c r="Q182" i="18"/>
  <c r="Q181" i="18"/>
  <c r="S178" i="18"/>
  <c r="T178" i="18" s="1"/>
  <c r="U178" i="18" s="1"/>
  <c r="V178" i="18" s="1"/>
  <c r="O179" i="18"/>
  <c r="S177" i="18"/>
  <c r="T177" i="18" s="1"/>
  <c r="U177" i="18" s="1"/>
  <c r="V177" i="18" s="1"/>
  <c r="S174" i="18"/>
  <c r="T174" i="18" s="1"/>
  <c r="U174" i="18" s="1"/>
  <c r="V174" i="18" s="1"/>
  <c r="S173" i="18"/>
  <c r="T173" i="18" s="1"/>
  <c r="Y173" i="18" s="1"/>
  <c r="Q172" i="18"/>
  <c r="Q171" i="18"/>
  <c r="O171" i="18"/>
  <c r="O169" i="18"/>
  <c r="S168" i="18"/>
  <c r="T168" i="18" s="1"/>
  <c r="U168" i="18" s="1"/>
  <c r="V168" i="18" s="1"/>
  <c r="O161" i="18"/>
  <c r="S163" i="18"/>
  <c r="Q162" i="18"/>
  <c r="S249" i="18"/>
  <c r="T249" i="18" s="1"/>
  <c r="S248" i="18"/>
  <c r="T248" i="18" s="1"/>
  <c r="S261" i="18"/>
  <c r="T261" i="18" s="1"/>
  <c r="Q260" i="18"/>
  <c r="Q259" i="18"/>
  <c r="S259" i="18" s="1"/>
  <c r="S258" i="18"/>
  <c r="T258" i="18" s="1"/>
  <c r="Q257" i="18"/>
  <c r="Q256" i="18"/>
  <c r="S256" i="18" s="1"/>
  <c r="S255" i="18"/>
  <c r="Q254" i="18"/>
  <c r="Q253" i="18"/>
  <c r="S253" i="18" s="1"/>
  <c r="Q251" i="18"/>
  <c r="S246" i="18"/>
  <c r="T246" i="18" s="1"/>
  <c r="U246" i="18" s="1"/>
  <c r="V246" i="18" s="1"/>
  <c r="S247" i="18"/>
  <c r="T247" i="18" s="1"/>
  <c r="S313" i="18"/>
  <c r="T313" i="18" s="1"/>
  <c r="U313" i="18" s="1"/>
  <c r="V313" i="18" s="1"/>
  <c r="Q307" i="18"/>
  <c r="S307" i="18" s="1"/>
  <c r="T307" i="18" s="1"/>
  <c r="U307" i="18" s="1"/>
  <c r="V307" i="18" s="1"/>
  <c r="S306" i="18"/>
  <c r="T306" i="18" s="1"/>
  <c r="U306" i="18" s="1"/>
  <c r="V306" i="18" s="1"/>
  <c r="S309" i="18"/>
  <c r="T309" i="18" s="1"/>
  <c r="U309" i="18" s="1"/>
  <c r="V309" i="18" s="1"/>
  <c r="S308" i="18"/>
  <c r="T308" i="18" s="1"/>
  <c r="U308" i="18" s="1"/>
  <c r="V308" i="18" s="1"/>
  <c r="S305" i="18"/>
  <c r="T305" i="18" s="1"/>
  <c r="U305" i="18" s="1"/>
  <c r="V305" i="18" s="1"/>
  <c r="S304" i="18"/>
  <c r="T304" i="18" s="1"/>
  <c r="U304" i="18" s="1"/>
  <c r="V304" i="18" s="1"/>
  <c r="S303" i="18"/>
  <c r="T303" i="18" s="1"/>
  <c r="U303" i="18" s="1"/>
  <c r="V303" i="18" s="1"/>
  <c r="S302" i="18"/>
  <c r="T302" i="18" s="1"/>
  <c r="U302" i="18" s="1"/>
  <c r="V302" i="18" s="1"/>
  <c r="S301" i="18"/>
  <c r="T301" i="18" s="1"/>
  <c r="U301" i="18" s="1"/>
  <c r="V301" i="18" s="1"/>
  <c r="S300" i="18"/>
  <c r="T300" i="18" s="1"/>
  <c r="U300" i="18" s="1"/>
  <c r="V300" i="18" s="1"/>
  <c r="S299" i="18"/>
  <c r="T299" i="18" s="1"/>
  <c r="U299" i="18" s="1"/>
  <c r="V299" i="18" s="1"/>
  <c r="S298" i="18"/>
  <c r="T298" i="18" s="1"/>
  <c r="U298" i="18" s="1"/>
  <c r="V298" i="18" s="1"/>
  <c r="S297" i="18"/>
  <c r="T297" i="18" s="1"/>
  <c r="U297" i="18" s="1"/>
  <c r="V297" i="18" s="1"/>
  <c r="S296" i="18"/>
  <c r="T296" i="18" s="1"/>
  <c r="U296" i="18" s="1"/>
  <c r="V296" i="18" s="1"/>
  <c r="S295" i="18"/>
  <c r="T295" i="18" s="1"/>
  <c r="U295" i="18" s="1"/>
  <c r="V295" i="18" s="1"/>
  <c r="S294" i="18"/>
  <c r="T294" i="18" s="1"/>
  <c r="U294" i="18" s="1"/>
  <c r="V294" i="18" s="1"/>
  <c r="S293" i="18"/>
  <c r="T293" i="18" s="1"/>
  <c r="U293" i="18" s="1"/>
  <c r="V293" i="18" s="1"/>
  <c r="S292" i="18"/>
  <c r="T292" i="18" s="1"/>
  <c r="U292" i="18" s="1"/>
  <c r="V292" i="18" s="1"/>
  <c r="S291" i="18"/>
  <c r="T291" i="18" s="1"/>
  <c r="U291" i="18" s="1"/>
  <c r="V291" i="18" s="1"/>
  <c r="S290" i="18"/>
  <c r="T290" i="18" s="1"/>
  <c r="U290" i="18" s="1"/>
  <c r="V290" i="18" s="1"/>
  <c r="S289" i="18"/>
  <c r="T289" i="18" s="1"/>
  <c r="U289" i="18" s="1"/>
  <c r="V289" i="18" s="1"/>
  <c r="S285" i="18"/>
  <c r="T285" i="18" s="1"/>
  <c r="T269" i="18"/>
  <c r="T268" i="18"/>
  <c r="T267" i="18"/>
  <c r="T266" i="18"/>
  <c r="S283" i="18"/>
  <c r="S282" i="18"/>
  <c r="T282" i="18" s="1"/>
  <c r="S281" i="18"/>
  <c r="T281" i="18" s="1"/>
  <c r="S280" i="18"/>
  <c r="T280" i="18" s="1"/>
  <c r="S279" i="18"/>
  <c r="S278" i="18"/>
  <c r="T278" i="18" s="1"/>
  <c r="S277" i="18"/>
  <c r="T277" i="18" s="1"/>
  <c r="S276" i="18"/>
  <c r="T276" i="18" s="1"/>
  <c r="S274" i="18"/>
  <c r="S275" i="18"/>
  <c r="T275" i="18" s="1"/>
  <c r="S273" i="18"/>
  <c r="T273" i="18" s="1"/>
  <c r="S272" i="18"/>
  <c r="T272" i="18" s="1"/>
  <c r="S265" i="18"/>
  <c r="T265" i="18" s="1"/>
  <c r="S264" i="18"/>
  <c r="T264" i="18" s="1"/>
  <c r="S263" i="18"/>
  <c r="T263" i="18" s="1"/>
  <c r="S262" i="18"/>
  <c r="T262" i="18" s="1"/>
  <c r="Q156" i="18"/>
  <c r="Q147" i="18"/>
  <c r="Q138" i="18"/>
  <c r="Q129" i="18"/>
  <c r="Q120" i="18"/>
  <c r="Q111" i="18"/>
  <c r="Q102" i="18"/>
  <c r="Q93" i="18"/>
  <c r="Q82" i="18"/>
  <c r="Q61" i="18"/>
  <c r="Q40" i="18"/>
  <c r="Q19" i="18"/>
  <c r="S191" i="18" l="1"/>
  <c r="X191" i="18" s="1"/>
  <c r="T253" i="18"/>
  <c r="U253" i="18" s="1"/>
  <c r="V253" i="18" s="1"/>
  <c r="X253" i="18"/>
  <c r="T256" i="18"/>
  <c r="U256" i="18" s="1"/>
  <c r="V256" i="18" s="1"/>
  <c r="X256" i="18"/>
  <c r="Q179" i="18"/>
  <c r="S179" i="18" s="1"/>
  <c r="T179" i="18" s="1"/>
  <c r="U179" i="18" s="1"/>
  <c r="V179" i="18" s="1"/>
  <c r="T259" i="18"/>
  <c r="U259" i="18" s="1"/>
  <c r="V259" i="18" s="1"/>
  <c r="X259" i="18"/>
  <c r="S171" i="18"/>
  <c r="X171" i="18" s="1"/>
  <c r="S188" i="18"/>
  <c r="T188" i="18" s="1"/>
  <c r="U188" i="18" s="1"/>
  <c r="V188" i="18" s="1"/>
  <c r="S181" i="18"/>
  <c r="S189" i="18"/>
  <c r="T189" i="18" s="1"/>
  <c r="U189" i="18" s="1"/>
  <c r="V189" i="18" s="1"/>
  <c r="U193" i="18"/>
  <c r="V193" i="18" s="1"/>
  <c r="S195" i="18"/>
  <c r="T195" i="18" s="1"/>
  <c r="U195" i="18" s="1"/>
  <c r="V195" i="18" s="1"/>
  <c r="U183" i="18"/>
  <c r="V183" i="18" s="1"/>
  <c r="S185" i="18"/>
  <c r="T185" i="18" s="1"/>
  <c r="U185" i="18" s="1"/>
  <c r="V185" i="18" s="1"/>
  <c r="S175" i="18"/>
  <c r="T175" i="18" s="1"/>
  <c r="U175" i="18" s="1"/>
  <c r="V175" i="18" s="1"/>
  <c r="Q169" i="18"/>
  <c r="S169" i="18" s="1"/>
  <c r="T169" i="18" s="1"/>
  <c r="U169" i="18" s="1"/>
  <c r="V169" i="18" s="1"/>
  <c r="U173" i="18"/>
  <c r="V173" i="18" s="1"/>
  <c r="U248" i="18"/>
  <c r="V248" i="18" s="1"/>
  <c r="U249" i="18"/>
  <c r="V249" i="18" s="1"/>
  <c r="T255" i="18"/>
  <c r="U255" i="18" s="1"/>
  <c r="V255" i="18" s="1"/>
  <c r="U247" i="18"/>
  <c r="V247" i="18" s="1"/>
  <c r="U258" i="18"/>
  <c r="V258" i="18" s="1"/>
  <c r="U261" i="18"/>
  <c r="V261" i="18" s="1"/>
  <c r="S260" i="18"/>
  <c r="S257" i="18"/>
  <c r="S254" i="18"/>
  <c r="T279" i="18"/>
  <c r="U279" i="18" s="1"/>
  <c r="V279" i="18" s="1"/>
  <c r="U263" i="18"/>
  <c r="V263" i="18" s="1"/>
  <c r="U265" i="18"/>
  <c r="V265" i="18" s="1"/>
  <c r="U273" i="18"/>
  <c r="V273" i="18" s="1"/>
  <c r="U280" i="18"/>
  <c r="V280" i="18" s="1"/>
  <c r="T274" i="18"/>
  <c r="U274" i="18" s="1"/>
  <c r="V274" i="18" s="1"/>
  <c r="U281" i="18"/>
  <c r="V281" i="18" s="1"/>
  <c r="U262" i="18"/>
  <c r="V262" i="18" s="1"/>
  <c r="T283" i="18"/>
  <c r="U283" i="18" s="1"/>
  <c r="V283" i="18" s="1"/>
  <c r="U278" i="18"/>
  <c r="V278" i="18" s="1"/>
  <c r="U264" i="18"/>
  <c r="V264" i="18" s="1"/>
  <c r="U272" i="18"/>
  <c r="V272" i="18" s="1"/>
  <c r="U275" i="18"/>
  <c r="V275" i="18" s="1"/>
  <c r="U276" i="18"/>
  <c r="V276" i="18" s="1"/>
  <c r="U282" i="18"/>
  <c r="V282" i="18" s="1"/>
  <c r="U277" i="18"/>
  <c r="V277" i="18" s="1"/>
  <c r="T191" i="18" l="1"/>
  <c r="U191" i="18" s="1"/>
  <c r="V191" i="18" s="1"/>
  <c r="S192" i="18"/>
  <c r="T192" i="18" s="1"/>
  <c r="U192" i="18" s="1"/>
  <c r="V192" i="18" s="1"/>
  <c r="S172" i="18"/>
  <c r="T172" i="18" s="1"/>
  <c r="U172" i="18" s="1"/>
  <c r="V172" i="18" s="1"/>
  <c r="T171" i="18"/>
  <c r="U171" i="18" s="1"/>
  <c r="V171" i="18" s="1"/>
  <c r="T181" i="18"/>
  <c r="U181" i="18" s="1"/>
  <c r="V181" i="18" s="1"/>
  <c r="X181" i="18"/>
  <c r="S182" i="18"/>
  <c r="T182" i="18" s="1"/>
  <c r="U182" i="18" s="1"/>
  <c r="V182" i="18" s="1"/>
  <c r="T260" i="18"/>
  <c r="U260" i="18" s="1"/>
  <c r="V260" i="18" s="1"/>
  <c r="T257" i="18"/>
  <c r="U257" i="18" s="1"/>
  <c r="V257" i="18" s="1"/>
  <c r="T254" i="18"/>
  <c r="U254" i="18" s="1"/>
  <c r="V254" i="18" s="1"/>
  <c r="Q333" i="18" l="1"/>
  <c r="Q332" i="18"/>
  <c r="Q331" i="18"/>
  <c r="Q330" i="18"/>
  <c r="Q150" i="18"/>
  <c r="S150" i="18" s="1"/>
  <c r="T150" i="18" s="1"/>
  <c r="U150" i="18" s="1"/>
  <c r="V150" i="18" s="1"/>
  <c r="Q141" i="18"/>
  <c r="S141" i="18" s="1"/>
  <c r="T141" i="18" s="1"/>
  <c r="U141" i="18" s="1"/>
  <c r="V141" i="18" s="1"/>
  <c r="Q132" i="18"/>
  <c r="S132" i="18" s="1"/>
  <c r="T132" i="18" s="1"/>
  <c r="U132" i="18" s="1"/>
  <c r="V132" i="18" s="1"/>
  <c r="S153" i="18"/>
  <c r="T153" i="18" s="1"/>
  <c r="U153" i="18" s="1"/>
  <c r="V153" i="18" s="1"/>
  <c r="S144" i="18"/>
  <c r="T144" i="18" s="1"/>
  <c r="U144" i="18" s="1"/>
  <c r="V144" i="18" s="1"/>
  <c r="S135" i="18"/>
  <c r="T135" i="18" s="1"/>
  <c r="U135" i="18" s="1"/>
  <c r="V135" i="18" s="1"/>
  <c r="S123" i="18"/>
  <c r="T123" i="18" s="1"/>
  <c r="S126" i="18"/>
  <c r="T126" i="18" s="1"/>
  <c r="Q131" i="18"/>
  <c r="R131" i="18" s="1"/>
  <c r="Q149" i="18"/>
  <c r="R149" i="18" s="1"/>
  <c r="Q140" i="18"/>
  <c r="R140" i="18" s="1"/>
  <c r="Q155" i="18"/>
  <c r="S155" i="18" s="1"/>
  <c r="X155" i="18" s="1"/>
  <c r="Q154" i="18"/>
  <c r="S154" i="18" s="1"/>
  <c r="X154" i="18" s="1"/>
  <c r="O151" i="18"/>
  <c r="S151" i="18" s="1"/>
  <c r="T151" i="18" s="1"/>
  <c r="Y151" i="18" s="1"/>
  <c r="Q146" i="18"/>
  <c r="S146" i="18" s="1"/>
  <c r="X146" i="18" s="1"/>
  <c r="Q145" i="18"/>
  <c r="S145" i="18" s="1"/>
  <c r="X145" i="18" s="1"/>
  <c r="O142" i="18"/>
  <c r="S142" i="18" s="1"/>
  <c r="Q137" i="18"/>
  <c r="S137" i="18" s="1"/>
  <c r="X137" i="18" s="1"/>
  <c r="Q136" i="18"/>
  <c r="S136" i="18" s="1"/>
  <c r="X136" i="18" s="1"/>
  <c r="O133" i="18"/>
  <c r="Z2" i="18"/>
  <c r="O121" i="18"/>
  <c r="S121" i="18" s="1"/>
  <c r="T121" i="18" s="1"/>
  <c r="U121" i="18" s="1"/>
  <c r="Z121" i="18" s="1"/>
  <c r="O119" i="18"/>
  <c r="O112" i="18"/>
  <c r="S112" i="18" s="1"/>
  <c r="T112" i="18" s="1"/>
  <c r="U112" i="18" s="1"/>
  <c r="Z112" i="18" s="1"/>
  <c r="O110" i="18"/>
  <c r="O103" i="18"/>
  <c r="S103" i="18" s="1"/>
  <c r="T103" i="18" s="1"/>
  <c r="U103" i="18" s="1"/>
  <c r="Z103" i="18" s="1"/>
  <c r="O101" i="18"/>
  <c r="O94" i="18"/>
  <c r="S94" i="18" s="1"/>
  <c r="T94" i="18" s="1"/>
  <c r="O92" i="18"/>
  <c r="Q119" i="18"/>
  <c r="P119" i="18"/>
  <c r="Q118" i="18"/>
  <c r="S118" i="18" s="1"/>
  <c r="X118" i="18" s="1"/>
  <c r="Q117" i="18"/>
  <c r="S117" i="18" s="1"/>
  <c r="X117" i="18" s="1"/>
  <c r="Q116" i="18"/>
  <c r="S116" i="18" s="1"/>
  <c r="X116" i="18" s="1"/>
  <c r="Q110" i="18"/>
  <c r="P110" i="18"/>
  <c r="Q109" i="18"/>
  <c r="S109" i="18" s="1"/>
  <c r="X109" i="18" s="1"/>
  <c r="Q108" i="18"/>
  <c r="S108" i="18" s="1"/>
  <c r="X108" i="18" s="1"/>
  <c r="Q107" i="18"/>
  <c r="S107" i="18" s="1"/>
  <c r="X107" i="18" s="1"/>
  <c r="Q101" i="18"/>
  <c r="P101" i="18"/>
  <c r="Q100" i="18"/>
  <c r="S100" i="18" s="1"/>
  <c r="X100" i="18" s="1"/>
  <c r="Q99" i="18"/>
  <c r="S99" i="18" s="1"/>
  <c r="X99" i="18" s="1"/>
  <c r="Q98" i="18"/>
  <c r="S98" i="18" s="1"/>
  <c r="X98" i="18" s="1"/>
  <c r="O115" i="18"/>
  <c r="S115" i="18" s="1"/>
  <c r="T115" i="18" s="1"/>
  <c r="U115" i="18" s="1"/>
  <c r="V115" i="18" s="1"/>
  <c r="O106" i="18"/>
  <c r="S106" i="18" s="1"/>
  <c r="T106" i="18" s="1"/>
  <c r="U106" i="18" s="1"/>
  <c r="V106" i="18" s="1"/>
  <c r="O97" i="18"/>
  <c r="S97" i="18" s="1"/>
  <c r="T97" i="18" s="1"/>
  <c r="U97" i="18" s="1"/>
  <c r="V97" i="18" s="1"/>
  <c r="O88" i="18"/>
  <c r="S88" i="18" s="1"/>
  <c r="T88" i="18" s="1"/>
  <c r="Q114" i="18"/>
  <c r="S114" i="18" s="1"/>
  <c r="T114" i="18" s="1"/>
  <c r="U114" i="18" s="1"/>
  <c r="V114" i="18" s="1"/>
  <c r="Q105" i="18"/>
  <c r="S105" i="18" s="1"/>
  <c r="T105" i="18" s="1"/>
  <c r="U105" i="18" s="1"/>
  <c r="V105" i="18" s="1"/>
  <c r="S96" i="18"/>
  <c r="T96" i="18" s="1"/>
  <c r="U96" i="18" s="1"/>
  <c r="V96" i="18" s="1"/>
  <c r="Q87" i="18"/>
  <c r="S113" i="18"/>
  <c r="T113" i="18" s="1"/>
  <c r="S104" i="18"/>
  <c r="T104" i="18" s="1"/>
  <c r="S95" i="18"/>
  <c r="T95" i="18" s="1"/>
  <c r="S86" i="18"/>
  <c r="T86" i="18" s="1"/>
  <c r="Y2" i="18"/>
  <c r="X2" i="18"/>
  <c r="O84" i="18"/>
  <c r="Q83" i="18"/>
  <c r="Q84" i="18" s="1"/>
  <c r="Q62" i="18"/>
  <c r="Q63" i="18" s="1"/>
  <c r="O63" i="18"/>
  <c r="Q41" i="18"/>
  <c r="Q42" i="18" s="1"/>
  <c r="O42" i="18"/>
  <c r="Q81" i="18"/>
  <c r="P81" i="18"/>
  <c r="O81" i="18"/>
  <c r="Q80" i="18"/>
  <c r="O80" i="18"/>
  <c r="Q79" i="18"/>
  <c r="S79" i="18" s="1"/>
  <c r="Q60" i="18"/>
  <c r="P60" i="18"/>
  <c r="O60" i="18"/>
  <c r="Q59" i="18"/>
  <c r="O59" i="18"/>
  <c r="Q58" i="18"/>
  <c r="S58" i="18" s="1"/>
  <c r="Q39" i="18"/>
  <c r="P39" i="18"/>
  <c r="O39" i="18"/>
  <c r="Q38" i="18"/>
  <c r="O38" i="18"/>
  <c r="Q37" i="18"/>
  <c r="S37" i="18" s="1"/>
  <c r="O18" i="18"/>
  <c r="O17" i="18"/>
  <c r="O16" i="18"/>
  <c r="Q78" i="18"/>
  <c r="Q57" i="18"/>
  <c r="O78" i="18"/>
  <c r="O57" i="18"/>
  <c r="O36" i="18"/>
  <c r="S36" i="18" s="1"/>
  <c r="T36" i="18" s="1"/>
  <c r="U36" i="18" s="1"/>
  <c r="Z36" i="18" s="1"/>
  <c r="O15" i="18"/>
  <c r="X79" i="18" l="1"/>
  <c r="X58" i="18"/>
  <c r="X37" i="18"/>
  <c r="S140" i="18"/>
  <c r="T140" i="18" s="1"/>
  <c r="U140" i="18" s="1"/>
  <c r="V140" i="18" s="1"/>
  <c r="W140" i="18"/>
  <c r="S149" i="18"/>
  <c r="T149" i="18" s="1"/>
  <c r="U149" i="18" s="1"/>
  <c r="V149" i="18" s="1"/>
  <c r="W149" i="18"/>
  <c r="S131" i="18"/>
  <c r="T131" i="18" s="1"/>
  <c r="U131" i="18" s="1"/>
  <c r="V131" i="18" s="1"/>
  <c r="W131" i="18"/>
  <c r="V121" i="18"/>
  <c r="V112" i="18"/>
  <c r="T107" i="18"/>
  <c r="U107" i="18" s="1"/>
  <c r="V107" i="18" s="1"/>
  <c r="T109" i="18"/>
  <c r="U109" i="18" s="1"/>
  <c r="V109" i="18" s="1"/>
  <c r="S156" i="18"/>
  <c r="T156" i="18" s="1"/>
  <c r="U156" i="18" s="1"/>
  <c r="V156" i="18" s="1"/>
  <c r="S138" i="18"/>
  <c r="T138" i="18" s="1"/>
  <c r="U138" i="18" s="1"/>
  <c r="V138" i="18" s="1"/>
  <c r="S147" i="18"/>
  <c r="T147" i="18" s="1"/>
  <c r="U147" i="18" s="1"/>
  <c r="V147" i="18" s="1"/>
  <c r="V36" i="18"/>
  <c r="T116" i="18"/>
  <c r="U116" i="18" s="1"/>
  <c r="V116" i="18" s="1"/>
  <c r="X318" i="18"/>
  <c r="T146" i="18"/>
  <c r="U146" i="18" s="1"/>
  <c r="V146" i="18" s="1"/>
  <c r="S133" i="18"/>
  <c r="T133" i="18" s="1"/>
  <c r="Y133" i="18" s="1"/>
  <c r="T145" i="18"/>
  <c r="U145" i="18" s="1"/>
  <c r="V145" i="18" s="1"/>
  <c r="T142" i="18"/>
  <c r="Y142" i="18" s="1"/>
  <c r="O157" i="18"/>
  <c r="T155" i="18"/>
  <c r="U155" i="18" s="1"/>
  <c r="V155" i="18" s="1"/>
  <c r="T154" i="18"/>
  <c r="U154" i="18" s="1"/>
  <c r="V154" i="18" s="1"/>
  <c r="U151" i="18"/>
  <c r="V151" i="18" s="1"/>
  <c r="O148" i="18"/>
  <c r="O139" i="18"/>
  <c r="T136" i="18"/>
  <c r="U136" i="18" s="1"/>
  <c r="V136" i="18" s="1"/>
  <c r="T137" i="18"/>
  <c r="U137" i="18" s="1"/>
  <c r="V137" i="18" s="1"/>
  <c r="S63" i="18"/>
  <c r="T63" i="18" s="1"/>
  <c r="U63" i="18" s="1"/>
  <c r="V63" i="18" s="1"/>
  <c r="V103" i="18"/>
  <c r="S80" i="18"/>
  <c r="X80" i="18" s="1"/>
  <c r="S101" i="18"/>
  <c r="X101" i="18" s="1"/>
  <c r="S110" i="18"/>
  <c r="X110" i="18" s="1"/>
  <c r="S119" i="18"/>
  <c r="X119" i="18" s="1"/>
  <c r="T118" i="18"/>
  <c r="U118" i="18" s="1"/>
  <c r="V118" i="18" s="1"/>
  <c r="T117" i="18"/>
  <c r="U117" i="18" s="1"/>
  <c r="V117" i="18" s="1"/>
  <c r="T108" i="18"/>
  <c r="U108" i="18" s="1"/>
  <c r="V108" i="18" s="1"/>
  <c r="T100" i="18"/>
  <c r="U100" i="18" s="1"/>
  <c r="V100" i="18" s="1"/>
  <c r="T98" i="18"/>
  <c r="U98" i="18" s="1"/>
  <c r="V98" i="18" s="1"/>
  <c r="T99" i="18"/>
  <c r="U99" i="18" s="1"/>
  <c r="V99" i="18" s="1"/>
  <c r="U113" i="18"/>
  <c r="V113" i="18" s="1"/>
  <c r="U104" i="18"/>
  <c r="V104" i="18" s="1"/>
  <c r="U95" i="18"/>
  <c r="V95" i="18" s="1"/>
  <c r="S84" i="18"/>
  <c r="T84" i="18" s="1"/>
  <c r="U84" i="18" s="1"/>
  <c r="V84" i="18" s="1"/>
  <c r="S83" i="18"/>
  <c r="T83" i="18" s="1"/>
  <c r="U83" i="18" s="1"/>
  <c r="V83" i="18" s="1"/>
  <c r="S42" i="18"/>
  <c r="T42" i="18" s="1"/>
  <c r="U42" i="18" s="1"/>
  <c r="V42" i="18" s="1"/>
  <c r="S41" i="18"/>
  <c r="T41" i="18" s="1"/>
  <c r="U41" i="18" s="1"/>
  <c r="V41" i="18" s="1"/>
  <c r="S78" i="18"/>
  <c r="T78" i="18" s="1"/>
  <c r="U78" i="18" s="1"/>
  <c r="Z78" i="18" s="1"/>
  <c r="S38" i="18"/>
  <c r="X38" i="18" s="1"/>
  <c r="S59" i="18"/>
  <c r="X59" i="18" s="1"/>
  <c r="S62" i="18"/>
  <c r="T62" i="18" s="1"/>
  <c r="U62" i="18" s="1"/>
  <c r="V62" i="18" s="1"/>
  <c r="S39" i="18"/>
  <c r="X39" i="18" s="1"/>
  <c r="S60" i="18"/>
  <c r="X60" i="18" s="1"/>
  <c r="S81" i="18"/>
  <c r="X81" i="18" s="1"/>
  <c r="T79" i="18"/>
  <c r="U79" i="18" s="1"/>
  <c r="V79" i="18" s="1"/>
  <c r="T58" i="18"/>
  <c r="U58" i="18" s="1"/>
  <c r="V58" i="18" s="1"/>
  <c r="T37" i="18"/>
  <c r="U37" i="18" s="1"/>
  <c r="V37" i="18" s="1"/>
  <c r="S57" i="18"/>
  <c r="T57" i="18" s="1"/>
  <c r="U57" i="18" s="1"/>
  <c r="Z57" i="18" s="1"/>
  <c r="S15" i="18"/>
  <c r="T15" i="18" s="1"/>
  <c r="S77" i="18"/>
  <c r="T77" i="18" s="1"/>
  <c r="U77" i="18" s="1"/>
  <c r="V77" i="18" s="1"/>
  <c r="S76" i="18"/>
  <c r="T76" i="18" s="1"/>
  <c r="U76" i="18" s="1"/>
  <c r="V76" i="18" s="1"/>
  <c r="S75" i="18"/>
  <c r="T75" i="18" s="1"/>
  <c r="S56" i="18"/>
  <c r="T56" i="18" s="1"/>
  <c r="U56" i="18" s="1"/>
  <c r="V56" i="18" s="1"/>
  <c r="S55" i="18"/>
  <c r="T55" i="18" s="1"/>
  <c r="U55" i="18" s="1"/>
  <c r="V55" i="18" s="1"/>
  <c r="S54" i="18"/>
  <c r="T54" i="18" s="1"/>
  <c r="U54" i="18" s="1"/>
  <c r="V54" i="18" s="1"/>
  <c r="S35" i="18"/>
  <c r="T35" i="18" s="1"/>
  <c r="U35" i="18" s="1"/>
  <c r="V35" i="18" s="1"/>
  <c r="S34" i="18"/>
  <c r="T34" i="18" s="1"/>
  <c r="U34" i="18" s="1"/>
  <c r="V34" i="18" s="1"/>
  <c r="S33" i="18"/>
  <c r="T33" i="18" s="1"/>
  <c r="U33" i="18" s="1"/>
  <c r="V33" i="18" s="1"/>
  <c r="Q77" i="18"/>
  <c r="O77" i="18"/>
  <c r="Q56" i="18"/>
  <c r="O56" i="18"/>
  <c r="Q35" i="18"/>
  <c r="O35" i="18"/>
  <c r="S14" i="18"/>
  <c r="T14" i="18" s="1"/>
  <c r="Q14" i="18"/>
  <c r="O14" i="18"/>
  <c r="S11" i="18"/>
  <c r="T11" i="18" s="1"/>
  <c r="S74" i="18"/>
  <c r="T74" i="18" s="1"/>
  <c r="S53" i="18"/>
  <c r="T53" i="18" s="1"/>
  <c r="S32" i="18"/>
  <c r="T32" i="18" s="1"/>
  <c r="R66" i="18"/>
  <c r="W66" i="18" s="1"/>
  <c r="R45" i="18"/>
  <c r="R24" i="18"/>
  <c r="R3" i="18"/>
  <c r="W3" i="18" s="1"/>
  <c r="S82" i="18" l="1"/>
  <c r="T82" i="18" s="1"/>
  <c r="U82" i="18" s="1"/>
  <c r="V82" i="18" s="1"/>
  <c r="S61" i="18"/>
  <c r="T61" i="18" s="1"/>
  <c r="U61" i="18" s="1"/>
  <c r="V61" i="18" s="1"/>
  <c r="S40" i="18"/>
  <c r="T40" i="18" s="1"/>
  <c r="U40" i="18" s="1"/>
  <c r="V40" i="18" s="1"/>
  <c r="O64" i="18"/>
  <c r="S64" i="18" s="1"/>
  <c r="T64" i="18" s="1"/>
  <c r="U64" i="18" s="1"/>
  <c r="V64" i="18" s="1"/>
  <c r="W45" i="18"/>
  <c r="O43" i="18"/>
  <c r="S43" i="18" s="1"/>
  <c r="T43" i="18" s="1"/>
  <c r="U43" i="18" s="1"/>
  <c r="V43" i="18" s="1"/>
  <c r="W24" i="18"/>
  <c r="T316" i="18"/>
  <c r="U316" i="18" s="1"/>
  <c r="V316" i="18" s="1"/>
  <c r="X316" i="18"/>
  <c r="T314" i="18"/>
  <c r="U314" i="18" s="1"/>
  <c r="V314" i="18" s="1"/>
  <c r="X314" i="18"/>
  <c r="T320" i="18"/>
  <c r="U320" i="18" s="1"/>
  <c r="V320" i="18" s="1"/>
  <c r="X320" i="18"/>
  <c r="T2" i="18"/>
  <c r="S319" i="18"/>
  <c r="T318" i="18"/>
  <c r="U318" i="18" s="1"/>
  <c r="V318" i="18" s="1"/>
  <c r="S317" i="18"/>
  <c r="S315" i="18"/>
  <c r="S321" i="18"/>
  <c r="T119" i="18"/>
  <c r="U119" i="18" s="1"/>
  <c r="V119" i="18" s="1"/>
  <c r="T110" i="18"/>
  <c r="U110" i="18" s="1"/>
  <c r="V110" i="18" s="1"/>
  <c r="U142" i="18"/>
  <c r="V142" i="18" s="1"/>
  <c r="S120" i="18"/>
  <c r="T120" i="18" s="1"/>
  <c r="U120" i="18" s="1"/>
  <c r="V120" i="18" s="1"/>
  <c r="S111" i="18"/>
  <c r="T111" i="18" s="1"/>
  <c r="U111" i="18" s="1"/>
  <c r="V111" i="18" s="1"/>
  <c r="S102" i="18"/>
  <c r="T102" i="18" s="1"/>
  <c r="U102" i="18" s="1"/>
  <c r="V102" i="18" s="1"/>
  <c r="T23" i="18"/>
  <c r="U23" i="18" s="1"/>
  <c r="V23" i="18" s="1"/>
  <c r="T44" i="18"/>
  <c r="U44" i="18" s="1"/>
  <c r="V44" i="18" s="1"/>
  <c r="T65" i="18"/>
  <c r="U65" i="18" s="1"/>
  <c r="V65" i="18" s="1"/>
  <c r="U133" i="18"/>
  <c r="V133" i="18" s="1"/>
  <c r="S139" i="18"/>
  <c r="T139" i="18" s="1"/>
  <c r="U139" i="18" s="1"/>
  <c r="V139" i="18" s="1"/>
  <c r="S148" i="18"/>
  <c r="T148" i="18" s="1"/>
  <c r="U148" i="18" s="1"/>
  <c r="V148" i="18" s="1"/>
  <c r="S157" i="18"/>
  <c r="T157" i="18" s="1"/>
  <c r="U157" i="18" s="1"/>
  <c r="V157" i="18" s="1"/>
  <c r="T101" i="18"/>
  <c r="U101" i="18" s="1"/>
  <c r="V101" i="18" s="1"/>
  <c r="T80" i="18"/>
  <c r="U80" i="18" s="1"/>
  <c r="V80" i="18" s="1"/>
  <c r="V57" i="18"/>
  <c r="V78" i="18"/>
  <c r="S24" i="18"/>
  <c r="T81" i="18"/>
  <c r="U81" i="18" s="1"/>
  <c r="V81" i="18" s="1"/>
  <c r="T59" i="18"/>
  <c r="U59" i="18" s="1"/>
  <c r="V59" i="18" s="1"/>
  <c r="T38" i="18"/>
  <c r="U38" i="18" s="1"/>
  <c r="V38" i="18" s="1"/>
  <c r="O85" i="18"/>
  <c r="S85" i="18" s="1"/>
  <c r="T85" i="18" s="1"/>
  <c r="U85" i="18" s="1"/>
  <c r="V85" i="18" s="1"/>
  <c r="S66" i="18"/>
  <c r="S45" i="18"/>
  <c r="T60" i="18"/>
  <c r="U60" i="18" s="1"/>
  <c r="V60" i="18" s="1"/>
  <c r="T39" i="18"/>
  <c r="U39" i="18" s="1"/>
  <c r="V39" i="18" s="1"/>
  <c r="U74" i="18"/>
  <c r="V74" i="18" s="1"/>
  <c r="U75" i="18"/>
  <c r="V75" i="18" s="1"/>
  <c r="U53" i="18"/>
  <c r="V53" i="18" s="1"/>
  <c r="U32" i="18"/>
  <c r="V32" i="18" s="1"/>
  <c r="S252" i="18"/>
  <c r="T252" i="18" s="1"/>
  <c r="O198" i="18"/>
  <c r="O199" i="18" s="1"/>
  <c r="O158" i="18"/>
  <c r="Q199" i="18"/>
  <c r="Q159" i="18"/>
  <c r="O20" i="18"/>
  <c r="T24" i="18" l="1"/>
  <c r="U24" i="18" s="1"/>
  <c r="V24" i="18" s="1"/>
  <c r="T45" i="18"/>
  <c r="U45" i="18" s="1"/>
  <c r="V45" i="18" s="1"/>
  <c r="T66" i="18"/>
  <c r="U66" i="18" s="1"/>
  <c r="V66" i="18" s="1"/>
  <c r="T203" i="18"/>
  <c r="Y203" i="18" s="1"/>
  <c r="T163" i="18"/>
  <c r="Y163" i="18" s="1"/>
  <c r="T321" i="18"/>
  <c r="U321" i="18" s="1"/>
  <c r="V321" i="18" s="1"/>
  <c r="T315" i="18"/>
  <c r="U315" i="18" s="1"/>
  <c r="V315" i="18" s="1"/>
  <c r="T317" i="18"/>
  <c r="U317" i="18" s="1"/>
  <c r="V317" i="18" s="1"/>
  <c r="T319" i="18"/>
  <c r="U319" i="18" s="1"/>
  <c r="V319" i="18" s="1"/>
  <c r="U252" i="18"/>
  <c r="V252" i="18" s="1"/>
  <c r="S158" i="18"/>
  <c r="S198" i="18"/>
  <c r="S199" i="18"/>
  <c r="O159" i="18"/>
  <c r="S159" i="18" s="1"/>
  <c r="U203" i="18" l="1"/>
  <c r="V203" i="18" s="1"/>
  <c r="T159" i="18"/>
  <c r="U159" i="18" s="1"/>
  <c r="V159" i="18" s="1"/>
  <c r="T199" i="18"/>
  <c r="U199" i="18" s="1"/>
  <c r="V199" i="18" s="1"/>
  <c r="T198" i="18"/>
  <c r="U198" i="18" s="1"/>
  <c r="V198" i="18" s="1"/>
  <c r="T158" i="18"/>
  <c r="U158" i="18" s="1"/>
  <c r="V158" i="18" s="1"/>
  <c r="U163" i="18"/>
  <c r="V163" i="18" s="1"/>
  <c r="O124" i="18"/>
  <c r="S124" i="18" s="1"/>
  <c r="T124" i="18" s="1"/>
  <c r="Y124" i="18" s="1"/>
  <c r="U124" i="18" l="1"/>
  <c r="V124" i="18" s="1"/>
  <c r="Y334" i="18"/>
  <c r="Q20" i="18"/>
  <c r="Q206" i="18"/>
  <c r="S206" i="18" s="1"/>
  <c r="Q205" i="18"/>
  <c r="Q204" i="18"/>
  <c r="C22" i="24"/>
  <c r="Q231" i="18" l="1"/>
  <c r="S231" i="18" s="1"/>
  <c r="T231" i="18" s="1"/>
  <c r="U231" i="18" s="1"/>
  <c r="V231" i="18" s="1"/>
  <c r="Q219" i="18"/>
  <c r="S219" i="18" s="1"/>
  <c r="T219" i="18" s="1"/>
  <c r="U219" i="18" s="1"/>
  <c r="V219" i="18" s="1"/>
  <c r="Q207" i="18"/>
  <c r="S207" i="18" s="1"/>
  <c r="Q243" i="18"/>
  <c r="S243" i="18" s="1"/>
  <c r="T243" i="18" s="1"/>
  <c r="U243" i="18" s="1"/>
  <c r="V243" i="18" s="1"/>
  <c r="Q208" i="18"/>
  <c r="S208" i="18" s="1"/>
  <c r="Q232" i="18"/>
  <c r="S232" i="18" s="1"/>
  <c r="T232" i="18" s="1"/>
  <c r="U232" i="18" s="1"/>
  <c r="V232" i="18" s="1"/>
  <c r="Q244" i="18"/>
  <c r="S244" i="18" s="1"/>
  <c r="T244" i="18" s="1"/>
  <c r="U244" i="18" s="1"/>
  <c r="V244" i="18" s="1"/>
  <c r="Q220" i="18"/>
  <c r="S220" i="18" s="1"/>
  <c r="T220" i="18" s="1"/>
  <c r="U220" i="18" s="1"/>
  <c r="V220" i="18" s="1"/>
  <c r="C23" i="24"/>
  <c r="Q91" i="18"/>
  <c r="S91" i="18" s="1"/>
  <c r="X91" i="18" s="1"/>
  <c r="Q250" i="18"/>
  <c r="S250" i="18" s="1"/>
  <c r="X250" i="18" s="1"/>
  <c r="Q202" i="18"/>
  <c r="Q161" i="18"/>
  <c r="Q21" i="18"/>
  <c r="O21" i="18"/>
  <c r="S251" i="18" l="1"/>
  <c r="T251" i="18" s="1"/>
  <c r="U251" i="18" s="1"/>
  <c r="V251" i="18" s="1"/>
  <c r="T250" i="18"/>
  <c r="U250" i="18" s="1"/>
  <c r="V250" i="18" s="1"/>
  <c r="T91" i="18"/>
  <c r="S200" i="18"/>
  <c r="O209" i="18"/>
  <c r="S209" i="18" s="1"/>
  <c r="S160" i="18"/>
  <c r="O166" i="18"/>
  <c r="S166" i="18" s="1"/>
  <c r="S202" i="18"/>
  <c r="X202" i="18" s="1"/>
  <c r="S161" i="18"/>
  <c r="S21" i="18"/>
  <c r="S164" i="18"/>
  <c r="U94" i="18"/>
  <c r="Z94" i="18" s="1"/>
  <c r="Q92" i="18"/>
  <c r="P92" i="18"/>
  <c r="U15" i="18"/>
  <c r="Z15" i="18" s="1"/>
  <c r="P18" i="18"/>
  <c r="Q18" i="18"/>
  <c r="S20" i="18"/>
  <c r="T20" i="18" s="1"/>
  <c r="U126" i="18"/>
  <c r="V126" i="18" s="1"/>
  <c r="U88" i="18"/>
  <c r="V88" i="18" s="1"/>
  <c r="U285" i="18"/>
  <c r="V285" i="18" s="1"/>
  <c r="S288" i="18"/>
  <c r="S287" i="18"/>
  <c r="S286" i="18"/>
  <c r="S284" i="18"/>
  <c r="S271" i="18"/>
  <c r="S270" i="18"/>
  <c r="Q201" i="18"/>
  <c r="S201" i="18" s="1"/>
  <c r="S162" i="18" l="1"/>
  <c r="T162" i="18" s="1"/>
  <c r="U162" i="18" s="1"/>
  <c r="V162" i="18" s="1"/>
  <c r="X161" i="18"/>
  <c r="S180" i="18"/>
  <c r="O186" i="18"/>
  <c r="S186" i="18" s="1"/>
  <c r="T186" i="18" s="1"/>
  <c r="U186" i="18" s="1"/>
  <c r="V186" i="18" s="1"/>
  <c r="O196" i="18"/>
  <c r="S196" i="18" s="1"/>
  <c r="T196" i="18" s="1"/>
  <c r="U196" i="18" s="1"/>
  <c r="V196" i="18" s="1"/>
  <c r="S190" i="18"/>
  <c r="S170" i="18"/>
  <c r="O176" i="18"/>
  <c r="S176" i="18" s="1"/>
  <c r="T176" i="18" s="1"/>
  <c r="U176" i="18" s="1"/>
  <c r="V176" i="18" s="1"/>
  <c r="T160" i="18"/>
  <c r="U160" i="18" s="1"/>
  <c r="V160" i="18" s="1"/>
  <c r="T164" i="18"/>
  <c r="U164" i="18" s="1"/>
  <c r="V164" i="18" s="1"/>
  <c r="T161" i="18"/>
  <c r="U161" i="18" s="1"/>
  <c r="V161" i="18" s="1"/>
  <c r="T201" i="18"/>
  <c r="U201" i="18" s="1"/>
  <c r="V201" i="18" s="1"/>
  <c r="T202" i="18"/>
  <c r="U202" i="18" s="1"/>
  <c r="V202" i="18" s="1"/>
  <c r="T209" i="18"/>
  <c r="U209" i="18" s="1"/>
  <c r="V209" i="18" s="1"/>
  <c r="T200" i="18"/>
  <c r="U200" i="18" s="1"/>
  <c r="V200" i="18" s="1"/>
  <c r="T166" i="18"/>
  <c r="U166" i="18" s="1"/>
  <c r="V166" i="18" s="1"/>
  <c r="T287" i="18"/>
  <c r="U287" i="18" s="1"/>
  <c r="V287" i="18" s="1"/>
  <c r="T288" i="18"/>
  <c r="U288" i="18" s="1"/>
  <c r="V288" i="18" s="1"/>
  <c r="T270" i="18"/>
  <c r="U270" i="18" s="1"/>
  <c r="V270" i="18" s="1"/>
  <c r="T286" i="18"/>
  <c r="U286" i="18" s="1"/>
  <c r="V286" i="18" s="1"/>
  <c r="T271" i="18"/>
  <c r="U271" i="18" s="1"/>
  <c r="V271" i="18" s="1"/>
  <c r="T284" i="18"/>
  <c r="U284" i="18" s="1"/>
  <c r="V284" i="18" s="1"/>
  <c r="S92" i="18"/>
  <c r="X92" i="18" s="1"/>
  <c r="V15" i="18"/>
  <c r="V94" i="18"/>
  <c r="T21" i="18"/>
  <c r="U21" i="18" s="1"/>
  <c r="V21" i="18" s="1"/>
  <c r="U91" i="18"/>
  <c r="V91" i="18" s="1"/>
  <c r="O165" i="18"/>
  <c r="S165" i="18" s="1"/>
  <c r="S18" i="18"/>
  <c r="X18" i="18" s="1"/>
  <c r="O205" i="18"/>
  <c r="S205" i="18" s="1"/>
  <c r="S13" i="18"/>
  <c r="S12" i="18"/>
  <c r="U20" i="18"/>
  <c r="V20" i="18" s="1"/>
  <c r="Q128" i="18"/>
  <c r="S128" i="18" s="1"/>
  <c r="X128" i="18" s="1"/>
  <c r="Q127" i="18"/>
  <c r="S127" i="18" s="1"/>
  <c r="X127" i="18" s="1"/>
  <c r="Q89" i="18"/>
  <c r="S89" i="18" s="1"/>
  <c r="X89" i="18" s="1"/>
  <c r="Q90" i="18"/>
  <c r="S90" i="18" s="1"/>
  <c r="X90" i="18" s="1"/>
  <c r="Q17" i="18"/>
  <c r="Q16" i="18"/>
  <c r="S16" i="18" s="1"/>
  <c r="S331" i="18" l="1"/>
  <c r="T331" i="18" s="1"/>
  <c r="U331" i="18" s="1"/>
  <c r="V331" i="18" s="1"/>
  <c r="S327" i="18"/>
  <c r="T327" i="18" s="1"/>
  <c r="U327" i="18" s="1"/>
  <c r="V327" i="18" s="1"/>
  <c r="S323" i="18"/>
  <c r="T323" i="18" s="1"/>
  <c r="U323" i="18" s="1"/>
  <c r="V323" i="18" s="1"/>
  <c r="S333" i="18"/>
  <c r="T333" i="18" s="1"/>
  <c r="U333" i="18" s="1"/>
  <c r="V333" i="18" s="1"/>
  <c r="S329" i="18"/>
  <c r="T329" i="18" s="1"/>
  <c r="U329" i="18" s="1"/>
  <c r="V329" i="18" s="1"/>
  <c r="S325" i="18"/>
  <c r="T325" i="18" s="1"/>
  <c r="U325" i="18" s="1"/>
  <c r="V325" i="18" s="1"/>
  <c r="S324" i="18"/>
  <c r="T324" i="18" s="1"/>
  <c r="U324" i="18" s="1"/>
  <c r="V324" i="18" s="1"/>
  <c r="S328" i="18"/>
  <c r="T328" i="18" s="1"/>
  <c r="U328" i="18" s="1"/>
  <c r="V328" i="18" s="1"/>
  <c r="S332" i="18"/>
  <c r="T332" i="18" s="1"/>
  <c r="U332" i="18" s="1"/>
  <c r="V332" i="18" s="1"/>
  <c r="X16" i="18"/>
  <c r="T180" i="18"/>
  <c r="U180" i="18" s="1"/>
  <c r="V180" i="18" s="1"/>
  <c r="T170" i="18"/>
  <c r="U170" i="18" s="1"/>
  <c r="V170" i="18" s="1"/>
  <c r="T190" i="18"/>
  <c r="U190" i="18" s="1"/>
  <c r="V190" i="18" s="1"/>
  <c r="T205" i="18"/>
  <c r="U205" i="18" s="1"/>
  <c r="V205" i="18" s="1"/>
  <c r="T208" i="18"/>
  <c r="U208" i="18" s="1"/>
  <c r="V208" i="18" s="1"/>
  <c r="T207" i="18"/>
  <c r="U207" i="18" s="1"/>
  <c r="V207" i="18" s="1"/>
  <c r="T165" i="18"/>
  <c r="U165" i="18" s="1"/>
  <c r="V165" i="18" s="1"/>
  <c r="T206" i="18"/>
  <c r="U206" i="18" s="1"/>
  <c r="V206" i="18" s="1"/>
  <c r="T89" i="18"/>
  <c r="T127" i="18"/>
  <c r="S129" i="18"/>
  <c r="T129" i="18" s="1"/>
  <c r="U129" i="18" s="1"/>
  <c r="V129" i="18" s="1"/>
  <c r="T128" i="18"/>
  <c r="T92" i="18"/>
  <c r="U92" i="18" s="1"/>
  <c r="V92" i="18" s="1"/>
  <c r="S93" i="18"/>
  <c r="T93" i="18" s="1"/>
  <c r="U93" i="18" s="1"/>
  <c r="V93" i="18" s="1"/>
  <c r="T90" i="18"/>
  <c r="Z334" i="18"/>
  <c r="T16" i="18"/>
  <c r="T18" i="18"/>
  <c r="U18" i="18" s="1"/>
  <c r="V18" i="18" s="1"/>
  <c r="T13" i="18"/>
  <c r="U13" i="18" s="1"/>
  <c r="V13" i="18" s="1"/>
  <c r="T12" i="18"/>
  <c r="U12" i="18" s="1"/>
  <c r="V12" i="18" s="1"/>
  <c r="S204" i="18"/>
  <c r="S167" i="18"/>
  <c r="T167" i="18" l="1"/>
  <c r="U167" i="18" s="1"/>
  <c r="V167" i="18" s="1"/>
  <c r="T204" i="18"/>
  <c r="U204" i="18" s="1"/>
  <c r="V204" i="18" s="1"/>
  <c r="S87" i="18"/>
  <c r="T87" i="18" l="1"/>
  <c r="U87" i="18" s="1"/>
  <c r="V87" i="18" s="1"/>
  <c r="R122" i="18"/>
  <c r="W122" i="18" s="1"/>
  <c r="S122" i="18" l="1"/>
  <c r="O130" i="18"/>
  <c r="S130" i="18" s="1"/>
  <c r="T130" i="18" l="1"/>
  <c r="U130" i="18" s="1"/>
  <c r="V130" i="18" s="1"/>
  <c r="T122" i="18"/>
  <c r="U122" i="18" s="1"/>
  <c r="V122" i="18" s="1"/>
  <c r="S17" i="18" l="1"/>
  <c r="X17" i="18" l="1"/>
  <c r="S19" i="18"/>
  <c r="T19" i="18" s="1"/>
  <c r="U19" i="18" s="1"/>
  <c r="V19" i="18" s="1"/>
  <c r="T17" i="18"/>
  <c r="U17" i="18" s="1"/>
  <c r="V17" i="18" s="1"/>
  <c r="U11" i="18"/>
  <c r="V11" i="18" s="1"/>
  <c r="U86" i="18"/>
  <c r="V86" i="18" s="1"/>
  <c r="U123" i="18"/>
  <c r="V123" i="18" s="1"/>
  <c r="U14" i="18"/>
  <c r="V14" i="18" s="1"/>
  <c r="O22" i="18"/>
  <c r="S22" i="18" s="1"/>
  <c r="T22" i="18" l="1"/>
  <c r="U22" i="18" s="1"/>
  <c r="V22" i="18" s="1"/>
  <c r="U127" i="18"/>
  <c r="V127" i="18" s="1"/>
  <c r="U16" i="18"/>
  <c r="V16" i="18" s="1"/>
  <c r="U89" i="18"/>
  <c r="V89" i="18" s="1"/>
  <c r="U90" i="18"/>
  <c r="V90" i="18" s="1"/>
  <c r="U128" i="18"/>
  <c r="V128" i="18" s="1"/>
  <c r="S3" i="18"/>
  <c r="R334" i="18"/>
  <c r="S330" i="18" l="1"/>
  <c r="T330" i="18" s="1"/>
  <c r="U330" i="18" s="1"/>
  <c r="V330" i="18" s="1"/>
  <c r="S322" i="18"/>
  <c r="T322" i="18" s="1"/>
  <c r="U322" i="18" s="1"/>
  <c r="V322" i="18" s="1"/>
  <c r="S326" i="18"/>
  <c r="T326" i="18" s="1"/>
  <c r="U326" i="18" s="1"/>
  <c r="V326" i="18" s="1"/>
  <c r="T3" i="18"/>
  <c r="U3" i="18" s="1"/>
  <c r="V3" i="18" s="1"/>
  <c r="X334" i="18"/>
  <c r="U2" i="18"/>
  <c r="S334" i="18" l="1"/>
  <c r="T334" i="18"/>
  <c r="V2" i="18"/>
  <c r="C5" i="24" s="1"/>
  <c r="U334" i="18"/>
  <c r="V334" i="18" l="1"/>
  <c r="E5" i="24"/>
  <c r="C7" i="24"/>
  <c r="E7" i="24" s="1"/>
  <c r="C6" i="24"/>
  <c r="E6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tc={E4B479DE-77B2-4EC4-83C8-87BEF2C6391C}</author>
  </authors>
  <commentList>
    <comment ref="B30" authorId="0" shapeId="0" xr:uid="{E4B479DE-77B2-4EC4-83C8-87BEF2C6391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Lohnnebenkosten beinhalten die Sozialbeiträge der Arbeitgeber (einschließlich der Entgeltfortzahlung im Krankheitsfall), die Kosten der beruflichen Aus- und Weiterbildung 
Quelle: 
https://www.destatis.de/DE/Presse/Pressemitteilungen/2025/04/PD25_154_624.html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tc={29370338-C8A7-4EE2-94A0-D00A5384CE0A}</author>
    <author>tc={94C6A839-74F5-4E03-90A7-1957039053BF}</author>
    <author>tc={D3B3662D-500B-4559-B877-ECE635CAD3BB}</author>
    <author>tc={D61DE235-8608-4508-ABE8-0B97EFECEE1B}</author>
  </authors>
  <commentList>
    <comment ref="O250" authorId="0" shapeId="0" xr:uid="{29370338-C8A7-4EE2-94A0-D00A5384CE0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 x Schleudern und 4 x Abfüllen / Jahr</t>
      </text>
    </comment>
    <comment ref="O253" authorId="1" shapeId="0" xr:uid="{94C6A839-74F5-4E03-90A7-1957039053B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 x Schleudern und 4 x Abfüllen / Jahr</t>
      </text>
    </comment>
    <comment ref="O256" authorId="2" shapeId="0" xr:uid="{D3B3662D-500B-4559-B877-ECE635CAD3B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 x Schleudern und 4 x Abfüllen / Jahr</t>
      </text>
    </comment>
    <comment ref="O259" authorId="3" shapeId="0" xr:uid="{D61DE235-8608-4508-ABE8-0B97EFECEE1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 x Schleudern und 4 x Abfüllen / Jahr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<sst xmlns="http://schemas.openxmlformats.org/spreadsheetml/2006/main" count="3451" uniqueCount="271">
  <si>
    <t>Arbeit</t>
  </si>
  <si>
    <t>Mittelwände</t>
  </si>
  <si>
    <t>Kostenart</t>
  </si>
  <si>
    <t>Abschreibung</t>
  </si>
  <si>
    <t>Wachswirtschaft</t>
  </si>
  <si>
    <t>WV</t>
  </si>
  <si>
    <t>Völkerführung</t>
  </si>
  <si>
    <t>Vertrieb</t>
  </si>
  <si>
    <t>Versicherung</t>
  </si>
  <si>
    <t>DIB</t>
  </si>
  <si>
    <t>Betrieb</t>
  </si>
  <si>
    <t>Gemeinkosten</t>
  </si>
  <si>
    <t>Vertrieb und Vermarktung</t>
  </si>
  <si>
    <t>Datenquelle</t>
  </si>
  <si>
    <t>Futtermittel</t>
  </si>
  <si>
    <t>Imkerlicher Prozess</t>
  </si>
  <si>
    <t>Raumkosten</t>
  </si>
  <si>
    <t>Kapital und Wagnis</t>
  </si>
  <si>
    <t>Schutzkleidung</t>
  </si>
  <si>
    <t>KFZ-Kosten</t>
  </si>
  <si>
    <t>Fortbildung</t>
  </si>
  <si>
    <t>https://www.iwkoeln.de/fileadmin/user_upload/Studien/Gutachten/PDF/2023/IWIP_Gutachten_Industrieimmobilien.pdf</t>
  </si>
  <si>
    <t>Betriebs-/Personal- /Prozesshygiene</t>
  </si>
  <si>
    <t>Honiggewinnung (Wabe bis Eimer)</t>
  </si>
  <si>
    <t>Honigverarbeitung (Eimer bis Glas)</t>
  </si>
  <si>
    <t>Gebühren Analytik Honig DIB-Parameter / Sorten</t>
  </si>
  <si>
    <t>Technik inkl. Waage geeicht</t>
  </si>
  <si>
    <t>Technik inkl. Refraktometer</t>
  </si>
  <si>
    <t>Tierarzneimittel inkl. Applikatoren</t>
  </si>
  <si>
    <t>Beutensysteme komplett inkl. Rähmchen, Beutenbock</t>
  </si>
  <si>
    <t>Stückkosten
EUR/kg, EUR/Stück</t>
  </si>
  <si>
    <t>Invest
EUR/Betrieb</t>
  </si>
  <si>
    <t>Eingriffe / Volk und Jahr</t>
  </si>
  <si>
    <t>Summe
Kosten
EUR/Jahr
Wirtschaftsvolk</t>
  </si>
  <si>
    <t>Summe
Kosten
EUR/Jahr
Betrieb</t>
  </si>
  <si>
    <t>Summe
Kosten
EUR/Jahr
kg Honig</t>
  </si>
  <si>
    <t>Standard Verkaufsgebindegröße</t>
  </si>
  <si>
    <t>Summe
Kosten
EUR/Jahr
Standardgebinde</t>
  </si>
  <si>
    <t>Interne Statistik Futtermittel LWG/IBI bezogen auf kg Trockenmasse</t>
  </si>
  <si>
    <t>Zukauf Mittelwände abzgl. Erlös aus Altwachsverkauf</t>
  </si>
  <si>
    <t>Wachsschmelzer, Einkochapparat, Eimer</t>
  </si>
  <si>
    <t>Wabenschmelzen</t>
  </si>
  <si>
    <t>Mittelwände einlöten</t>
  </si>
  <si>
    <t>Reinigung Beuten und Rähmchen</t>
  </si>
  <si>
    <t xml:space="preserve">Therapie </t>
  </si>
  <si>
    <t>LWG/IBI: Kosten Varroakonzepte - TAM orientiertes Konzept mit 2xAS/Nheider und OS/Träufel</t>
  </si>
  <si>
    <t>Diagnose / Schadschwellen / Behandlungskontrolle</t>
  </si>
  <si>
    <t>KFZ</t>
  </si>
  <si>
    <t>Kapital</t>
  </si>
  <si>
    <t>Steuerberatung / Buchführungskosten</t>
  </si>
  <si>
    <t>Verkaufsvorgang (Gespräch, Zahlungsvorgang, Belegerstellung, Pfandrücknahme….)</t>
  </si>
  <si>
    <t>Brenner mit Propankartusche</t>
  </si>
  <si>
    <t xml:space="preserve">je nach Bundesland unterschiedliche Förderung </t>
  </si>
  <si>
    <t>Bienengesundheit /-hygiene</t>
  </si>
  <si>
    <t>Rähmchenersatz</t>
  </si>
  <si>
    <t>Tierseuchenkasse (abhängig von Bundesland)</t>
  </si>
  <si>
    <t>je nach Bundesland unterschiedlich</t>
  </si>
  <si>
    <t>Summe</t>
  </si>
  <si>
    <t>Primärpackmittel: Deckel</t>
  </si>
  <si>
    <t>Primärpackmittel: Deckeleinlage</t>
  </si>
  <si>
    <t>Primärpackmittel: Gewährstreifen</t>
  </si>
  <si>
    <t>VE</t>
  </si>
  <si>
    <t xml:space="preserve">Honigerzeugergemeinschaft Süddeutschland w.V. / HEG Imker Shop GmbH  </t>
  </si>
  <si>
    <t>Herstellung</t>
  </si>
  <si>
    <t>Primärpackmittel: Glas Erstausstattung</t>
  </si>
  <si>
    <t>Primärpackmittel: Glas Ersatzbeschaffung</t>
  </si>
  <si>
    <t>DIB selbstklebend auf Bogen https://deutscherimkerbund.de/wp-content/uploads/2025/07/gewahrverschlussvarianten-und-preise-2025-07.pdf</t>
  </si>
  <si>
    <t>LfL</t>
  </si>
  <si>
    <t>Fortbildung / Abo Fachzeitschrift</t>
  </si>
  <si>
    <t>z.B. Bienen und Natur</t>
  </si>
  <si>
    <t>Eichung Waage</t>
  </si>
  <si>
    <t xml:space="preserve">Sachversicherung imkerliches Inventar </t>
  </si>
  <si>
    <t>Imkerliche Unfallversicherung</t>
  </si>
  <si>
    <t>z.B. LVBI ERGO</t>
  </si>
  <si>
    <t>DIB Werbebeitrag</t>
  </si>
  <si>
    <t>DIB Grundbeitrag</t>
  </si>
  <si>
    <t>Landesverband Grundbeitrag</t>
  </si>
  <si>
    <t>Ortsverein Grundbeitrag</t>
  </si>
  <si>
    <t>z.B. Bezirksimkerverein München</t>
  </si>
  <si>
    <t>Sachversicherung / Haftpflichtversicherung Imkerei</t>
  </si>
  <si>
    <t>Funktion</t>
  </si>
  <si>
    <t>Kostentyp</t>
  </si>
  <si>
    <t>Position</t>
  </si>
  <si>
    <t>Kalkulation
position
#</t>
  </si>
  <si>
    <t>pagatorisch</t>
  </si>
  <si>
    <t>Gültigkeit
Betriebgröße
WV (Wirtschaftsvolk)</t>
  </si>
  <si>
    <t>Material</t>
  </si>
  <si>
    <t>Bezugszeitraum
Monat
Jahre (=Nutzungsdauer)</t>
  </si>
  <si>
    <t>Arbeitszeit
(Akmin)</t>
  </si>
  <si>
    <t>Fremdleistungen</t>
  </si>
  <si>
    <t>Annahmen:</t>
  </si>
  <si>
    <r>
      <rPr>
        <sz val="11"/>
        <color theme="1"/>
        <rFont val="Wingdings 3"/>
        <family val="1"/>
        <charset val="2"/>
      </rPr>
      <t xml:space="preserve">" </t>
    </r>
    <r>
      <rPr>
        <sz val="11"/>
        <color theme="1"/>
        <rFont val="Calibri"/>
        <family val="2"/>
        <scheme val="minor"/>
      </rPr>
      <t>es wird nur die Erzeugung von Honig betrachtet; Koppelprodukte wie Ableger, Bienenwachs und - kerzen etc. sind nicht berücksichtigt</t>
    </r>
  </si>
  <si>
    <t>Verbrauchsmenge (Anzahl / Bezugszeitraum)</t>
  </si>
  <si>
    <t>Bezugsgrösse
WV (Wirtschaftsvolk)
Betrieb
VE (Verpackungseinheit)</t>
  </si>
  <si>
    <r>
      <rPr>
        <sz val="11"/>
        <color theme="1"/>
        <rFont val="Wingdings 3"/>
        <family val="1"/>
        <charset val="2"/>
      </rPr>
      <t xml:space="preserve">" </t>
    </r>
    <r>
      <rPr>
        <sz val="11"/>
        <color theme="1"/>
        <rFont val="Calibri"/>
        <family val="2"/>
        <scheme val="minor"/>
      </rPr>
      <t>eine mit KFZ zum Bienenstand zurückzulegende Entfernung ist mit berücksichtigt</t>
    </r>
  </si>
  <si>
    <t>Rüstzeit</t>
  </si>
  <si>
    <t>Fahrtzeit</t>
  </si>
  <si>
    <t>kalkulatorisch</t>
  </si>
  <si>
    <t>Lagergebinde: Erstausstattung</t>
  </si>
  <si>
    <t>Lagergebinde: Ersatzbeschaffung</t>
  </si>
  <si>
    <t xml:space="preserve">14kg Eimer - Honigerzeugergemeinschaft Süddeutschland w.V. / HEG Imker Shop GmbH  </t>
  </si>
  <si>
    <t>Raumnebenkosten (Strom, Wasser, Heizung)</t>
  </si>
  <si>
    <t>Werkzeuge (Smoker, Stockmeisel, Sprühflasche, Besen, Zurrgurt…...)</t>
  </si>
  <si>
    <t>Entdeckeln/Schleudern/Sieben/Abschäumen</t>
  </si>
  <si>
    <t>1 Schleudergang a 4 Waben</t>
  </si>
  <si>
    <t>Anwärmen/Rühren/Abfüllen/Etikettieren</t>
  </si>
  <si>
    <t>Glas</t>
  </si>
  <si>
    <t>Raumnutzung Lebensmittel</t>
  </si>
  <si>
    <t>2 x Schleudern und 4 x Abfüllen Raumreinigung</t>
  </si>
  <si>
    <t>Summe
AKh/Jahr
WV</t>
  </si>
  <si>
    <t>LWG IBI KFZ Kostenrechner</t>
  </si>
  <si>
    <t>Anzahl Wirtschaftsvölker</t>
  </si>
  <si>
    <t>g Nettoinhalt/Glas</t>
  </si>
  <si>
    <t>Wert</t>
  </si>
  <si>
    <t>Einheit</t>
  </si>
  <si>
    <t>Quelle</t>
  </si>
  <si>
    <t>https://www.destatis.de/DE/Themen/Arbeit/Arbeitskosten-Lohnnebenkosten/Tabellen/lohnkosten-deutschland.html</t>
  </si>
  <si>
    <t>Sozialversicherung</t>
  </si>
  <si>
    <t>Sozialaufwand (Lohnnebenkosten)</t>
  </si>
  <si>
    <t>Betriebsgröße:  Anzahl Wirtschaftsvölker</t>
  </si>
  <si>
    <t>Betrachtet werden Herstellungskosten des Honigs- sowie Vertriebskosten (Arbeitszeit je Verkaufsvorgang) und die Gemeinkosten des Imkereibetriebes</t>
  </si>
  <si>
    <t>Einkommen- oder umsatzsteuerliche Betrachtungen sind nicht berücksichtigt;
bei dargestellten Kosten und Investitionsbeträgen sind die bezahlten Umsatzsteueranteile mit enthalten, staatliche Investitionsförderprogramme sind nicht berücksichtigt</t>
  </si>
  <si>
    <t>Wie groß ist Ihr Betrieb ?</t>
  </si>
  <si>
    <t>Wie gut imkern Sie ?</t>
  </si>
  <si>
    <t>EUR/m² und Monat</t>
  </si>
  <si>
    <t>Deckel</t>
  </si>
  <si>
    <t>Deckeleinlage</t>
  </si>
  <si>
    <t>Etikett / Gewährverschluss</t>
  </si>
  <si>
    <t>Futterverbrauch</t>
  </si>
  <si>
    <t>Durchschnitt pro Volk und Jahr</t>
  </si>
  <si>
    <t>Futterkosten</t>
  </si>
  <si>
    <t>Verlustrate %</t>
  </si>
  <si>
    <t>Honigertrag kg/Wirtschaftsvolk und Jahr</t>
  </si>
  <si>
    <t>DEBIMO Mittelwert 2004-2024 Winterverluste</t>
  </si>
  <si>
    <t>DEBIMO Mittelwert 2010-2024 Honigertrag</t>
  </si>
  <si>
    <t>Futterverbrauch kg/Wirtschaftsvolk und Jahr</t>
  </si>
  <si>
    <t>Futterkosten EUR/kg</t>
  </si>
  <si>
    <t>13,90 EUR/h lt. Mindestlohngesetz 2026</t>
  </si>
  <si>
    <t>29 %  2024 lt.Statistisches Bundesamt (DESTATIS)</t>
  </si>
  <si>
    <t>4,61 EUR/m² Miete 2022 für Logistik lt. Institut der Deutschen Wirtschaft</t>
  </si>
  <si>
    <t>Raumkosten EUR/m² Monat</t>
  </si>
  <si>
    <t>38,37 kg   Ø DEBIMO 2010-2024 Honigertrag</t>
  </si>
  <si>
    <t>Entlohnung Arbeitsstunde EUR/h</t>
  </si>
  <si>
    <t>Prozent von Entlohnungsanspruch</t>
  </si>
  <si>
    <t>Tatsächliche Selbstkosten in Imkereien werden nach oben und unten erheblich um diese Erwartungswerte streuen.</t>
  </si>
  <si>
    <t>Strom</t>
  </si>
  <si>
    <t>Versuch Wachsschemlzer IBI 2024 mit 0,1 kWh/ZanderBRW mit effizientem Gerät</t>
  </si>
  <si>
    <t>LWG/IBI SofortabfüllenvsLagergebinde: 0,1 kWh/kg Honig</t>
  </si>
  <si>
    <t>LWG/IBI SofortabfüllenvsLagergebinde: 0,2 kWh/kg Honig</t>
  </si>
  <si>
    <t>Summe
kWh/Jahr
kg Honig</t>
  </si>
  <si>
    <t>Reinigungsmittel / -geräte</t>
  </si>
  <si>
    <t>Betriebsgröße WV</t>
  </si>
  <si>
    <t>Beutensysteme komplett inkl. Rähmchen, Beutenbock inkl. Mengendegression</t>
  </si>
  <si>
    <t>LWG IBI KFZ Kostenrechner nur PKW; 20 Völker /Stand</t>
  </si>
  <si>
    <t>LWG IBI KFZ Kostenrechner PKW und Hänger; 20 Völker/Stand</t>
  </si>
  <si>
    <t>Gasbrenner für Beutendesinfektion (100 EUR für Leerflasche und Brenner+30 EUR je Füllung)</t>
  </si>
  <si>
    <t>Gasbrenner für Beutendesinfektion (100 EUR für Leerflasche und Brenner+30 EUR je Füllung für 30 Völker p.a.)</t>
  </si>
  <si>
    <t>Gebühren Gesundheitszeugnis / BSV / Analytik Bienenkrankheiten je Stand</t>
  </si>
  <si>
    <t>Summe
km/Jahr
kg Honig</t>
  </si>
  <si>
    <t>Unternehmenswagnis</t>
  </si>
  <si>
    <t>Wie hoch ist Ihr Anspruch auf Entlohnung von Arbeitszeit, Betriebsräumen und unternehmerischem Risiko (Unternehmenswagnis) ?</t>
  </si>
  <si>
    <t>Analytik Wachs / Rückstände / Verfälschung</t>
  </si>
  <si>
    <t>Prozent auf Selbstkosten</t>
  </si>
  <si>
    <t>Unfallversicherung SVLFG Grund- und Risikobertrag</t>
  </si>
  <si>
    <t>z.B. LVBI ohne Versicherungen</t>
  </si>
  <si>
    <t>z.B. LVBI Versicherung Gaede&amp;Glauerdt Imker Global</t>
  </si>
  <si>
    <t>z.B. LVBI Ergänzungsversicherung Gaede&amp;Glauerdt Inventar Geräte Vorräte</t>
  </si>
  <si>
    <t>Haftpflicht</t>
  </si>
  <si>
    <t>z.B. DBIB Gaede&amp;Glauerdt Gruppe B</t>
  </si>
  <si>
    <t>Tierschäden</t>
  </si>
  <si>
    <t>Belegstellen</t>
  </si>
  <si>
    <t>DBIB Grundbeitrag</t>
  </si>
  <si>
    <t>DBIB</t>
  </si>
  <si>
    <t>Rundfunkbeitrag</t>
  </si>
  <si>
    <t>1 Betriebsstätte mit 1 KFZ separat</t>
  </si>
  <si>
    <t>Hosting Homepage / Mobiltelefonie</t>
  </si>
  <si>
    <t>Beiträge_Gebühren</t>
  </si>
  <si>
    <t>Verpackungsentsorgung</t>
  </si>
  <si>
    <t xml:space="preserve"> https://recycling-dual.de/kalkulator/ Glas+Kunststoffdeckel+ Pappe</t>
  </si>
  <si>
    <t>300kg Abfüllbehälter</t>
  </si>
  <si>
    <t>Summe
Invest EUR/WV</t>
  </si>
  <si>
    <t xml:space="preserve">Dieses Datei ist nicht für die Ermittlung steuerlicher Werte Ihres Betriebes - etwa für die Vorratsbewertung - oder für Finanzierungsfragen konzipiert und geeignet
Sie richtet sich an freizeit- und erwerbsorientierte Imkereien unterhalb der Bilanzierungsgrenze, die sich mit den Erzeugungskosten ihres Imkereibetriebes befassen möchten um z.B. einen Anhaltspunkt für Ihre Verkaufspreisgestaltung zu erhalten </t>
  </si>
  <si>
    <t>Werkzeuge (Drahtspanner, Lötgerät, Vorrichtungen…...)</t>
  </si>
  <si>
    <t>pauschal</t>
  </si>
  <si>
    <t>z.B. Angebot Fa. Graze Beuten-Komplettsystem inkl. Rähmchen Fütterer Fluchten Böcke 200 EUR + 3kg x 25 EUR für Erstausstattung Mittelwände</t>
  </si>
  <si>
    <t>Telekommunikation</t>
  </si>
  <si>
    <t>Jungkönigin</t>
  </si>
  <si>
    <t>Ablegerbeutensysteme Remontierung = Verlustrate / 75% erfolgsquote Abelgerbildung</t>
  </si>
  <si>
    <t>Rähmchen Ableger</t>
  </si>
  <si>
    <t>Jungkönigin für Ableger</t>
  </si>
  <si>
    <t>Jungkönigin für Wirtschaftsvölker</t>
  </si>
  <si>
    <t>Futtermittel für Ableger</t>
  </si>
  <si>
    <t>Eingriffe / Volk und Jahr Ableger</t>
  </si>
  <si>
    <t>Stockwaage</t>
  </si>
  <si>
    <t>Hebetechnik</t>
  </si>
  <si>
    <t>Welche Materialkosten haben Sie ?</t>
  </si>
  <si>
    <t>Betriebsgröße</t>
  </si>
  <si>
    <t>Honigertrag</t>
  </si>
  <si>
    <t>kg/Wirtschaftsvolk und Jahr</t>
  </si>
  <si>
    <t>Durchschnitt  Futtermittelkosten des Betriebes</t>
  </si>
  <si>
    <t>Völkerverluste</t>
  </si>
  <si>
    <t>Prozent Völkerverluste aufgrund
Krankheiten, Schädlinge, Abschwärmen, Verhungern, Wildschäden etc.</t>
  </si>
  <si>
    <t>km einfache Distanz mit KFZ im Mittel aller Bienenstände</t>
  </si>
  <si>
    <t>Entfernung Bienenstand-Betrieb</t>
  </si>
  <si>
    <t>12,10 %   Ø DEBIMO 2004-2024 Winterverluste (zuzügl. x % andere Verlustarten)</t>
  </si>
  <si>
    <t>Materialkosten Verkaufsgebinde</t>
  </si>
  <si>
    <t>EUR/Verkaufsgebinde</t>
  </si>
  <si>
    <t>Rücklaufquote Honigglas</t>
  </si>
  <si>
    <t>Prozent Rücklauf leere Pfandgläser von Kundschaft - bei Vertrieb über Wiederverkäufer oder wenn kein Pfandsystem ggf. 0% eintragen</t>
  </si>
  <si>
    <t>Anzahl Wirtschaftsvölker im Betrieb</t>
  </si>
  <si>
    <t>1 bis 25</t>
  </si>
  <si>
    <t>26 bis 70</t>
  </si>
  <si>
    <t>71 bis 149</t>
  </si>
  <si>
    <t>150 und mehr</t>
  </si>
  <si>
    <t>Entlohnung Arbeit</t>
  </si>
  <si>
    <t>EUR/Akh (Arbeitskraftstunde)  ohne Sozialversicherung, vor Lohnsteuer</t>
  </si>
  <si>
    <t>1.</t>
  </si>
  <si>
    <t>2.</t>
  </si>
  <si>
    <t>3.</t>
  </si>
  <si>
    <t>4.</t>
  </si>
  <si>
    <t>5.</t>
  </si>
  <si>
    <t>Ergebnis</t>
  </si>
  <si>
    <t>Anmerkungen zum Kalkulationsmodell</t>
  </si>
  <si>
    <t>Dieses Modell arbeitet mit voreingestellten Prämissen mit in der imkerlichen Praxis erwartbaren Werten</t>
  </si>
  <si>
    <t>6.</t>
  </si>
  <si>
    <t>Direktvermarktung</t>
  </si>
  <si>
    <t>Wiederverkäufer</t>
  </si>
  <si>
    <t>Großhandel</t>
  </si>
  <si>
    <t>Vertriebsweg</t>
  </si>
  <si>
    <t>Kommentar</t>
  </si>
  <si>
    <t>x</t>
  </si>
  <si>
    <t>Betriebstyp</t>
  </si>
  <si>
    <t>Vertrieb_
Direkt</t>
  </si>
  <si>
    <t>Vertrieb_
Wiederverkäufer</t>
  </si>
  <si>
    <t>Vertrieb_
Grosshandel</t>
  </si>
  <si>
    <t>Summe EUR/Gebinde</t>
  </si>
  <si>
    <t>Kosten</t>
  </si>
  <si>
    <t>Größe</t>
  </si>
  <si>
    <t>Selbstkosten inkl. Gewinnanspruch
inklusive Vertriebskosten</t>
  </si>
  <si>
    <t>Selbstkosten inkl. Gewinnanspruch
ohne Vertriebskosten</t>
  </si>
  <si>
    <t>Selbstkosten inkl. Gewinnanspruch
ohne Vertriebskosten ohne Kosten der Honigverarbeitung, d.h. Vertrieb in Lagergebinde (Eimer, Fass)</t>
  </si>
  <si>
    <r>
      <t xml:space="preserve">Tabelle 1: Stückkosten / Kostenarten nach Betriebsgröße  (Anzahl Wirtschaftsvölker) und Vermarktungsweg - Prämissen siehe Blatt "Start"
</t>
    </r>
    <r>
      <rPr>
        <b/>
        <sz val="11"/>
        <color rgb="FFFF0000"/>
        <rFont val="Calibri"/>
        <family val="2"/>
        <scheme val="minor"/>
      </rPr>
      <t>zum Aktualisieren Cursor auf eine der Tabellen positionieren und Strg+Alt+F5 drücken</t>
    </r>
  </si>
  <si>
    <r>
      <t xml:space="preserve">Tabelle 3: Stückkosten / Zahlungsart nach Betriebsgröße (Anzahl Wirtschaftsvölker) und Vermarktungsweg - Prämissen siehe Blatt "Start"
</t>
    </r>
    <r>
      <rPr>
        <b/>
        <sz val="11"/>
        <color rgb="FFFF0000"/>
        <rFont val="Calibri"/>
        <family val="2"/>
        <scheme val="minor"/>
      </rPr>
      <t>zum Aktualisieren Cursor auf eine der Tabellen positionieren und Strg+Alt+F5 drücken</t>
    </r>
  </si>
  <si>
    <t>Auszahlung jährlich</t>
  </si>
  <si>
    <t>keine Auszahlung / kalkulatorisch</t>
  </si>
  <si>
    <r>
      <t xml:space="preserve">Tabelle 2: Stückkosten / imkerlicher Prozesse nach Betriebsgröße  (Anzahl Wirtschaftsvölker) und Vermarktungsweg - Prämissen siehe Blatt "Start"
</t>
    </r>
    <r>
      <rPr>
        <b/>
        <sz val="11"/>
        <color rgb="FFFF0000"/>
        <rFont val="Calibri"/>
        <family val="2"/>
        <scheme val="minor"/>
      </rPr>
      <t>zum Aktualisieren Cursor auf eine der Tabellen positionieren und Strg+Alt+F5 drücken</t>
    </r>
  </si>
  <si>
    <t>Prozess</t>
  </si>
  <si>
    <t>Spaltenbeschriftungen</t>
  </si>
  <si>
    <t>Arbeitszeit AKh/Volk und Jahr</t>
  </si>
  <si>
    <t>Investition Sachanlagen EUR / Volk</t>
  </si>
  <si>
    <t>Betriebsgröße (Anzahl Völker)</t>
  </si>
  <si>
    <r>
      <t xml:space="preserve">Tabelle 4: Kennzahlen Investitionsbedarf (Sachanlagen ohne Gebäude) und jährliche Arbeitszeit nach Betriebsgröße (Anzahl Wirtschaftsvölker) und imkerlichen Prozessen - Prämissen siehe Blatt "Start"
</t>
    </r>
    <r>
      <rPr>
        <b/>
        <sz val="11"/>
        <color rgb="FFFF0000"/>
        <rFont val="Calibri"/>
        <family val="2"/>
        <scheme val="minor"/>
      </rPr>
      <t>zum Aktualisieren Cursor auf eine der Tabellen positionieren und Strg+Alt+F5 drücken</t>
    </r>
  </si>
  <si>
    <t>Unternehmenswagnis - Gewinnanspruch</t>
  </si>
  <si>
    <t>Betrieben, die ihre tatsächlichen Selbstkosten ermitteln möchten muss daher empfohlen werden eigene Daten ihres Betriebes zu erheben und damit eine individuelle Kalkulation zu erstellen.</t>
  </si>
  <si>
    <t>Wie hoch sind die Selbstkosten 
eines Glases Honig ?</t>
  </si>
  <si>
    <t>Entwicklungsstand: 12.03.2026</t>
  </si>
  <si>
    <t>EUR/kg Honig</t>
  </si>
  <si>
    <t>Bedienung dieser Datei:  Punkte 1 bis 6 nacheinander durchgehen - die Werte der gelb hinterlegten Zellen können Sie verändern. Bitte lesen Sie die Anmerkungen zu dieser Datei unter Punkt 6.</t>
  </si>
  <si>
    <t>Kontakt Herausgeber:</t>
  </si>
  <si>
    <t>Institut für Bienenkunde und Imkerei</t>
  </si>
  <si>
    <t>Bayerische Landesanstalt für Weinbau und Gartenbau</t>
  </si>
  <si>
    <t>An der Steige 15</t>
  </si>
  <si>
    <t>97209 Veitshöchheim</t>
  </si>
  <si>
    <t>https://www.lwg.bayern.de/bienen/index.php</t>
  </si>
  <si>
    <t>Info - Bezugsgröße 1 kg Honig</t>
  </si>
  <si>
    <t>Kosten für Vermarktung / Verkauf / Vertrieb</t>
  </si>
  <si>
    <t>pauschal EUR je kg Honig</t>
  </si>
  <si>
    <r>
      <rPr>
        <sz val="11"/>
        <color theme="1"/>
        <rFont val="Wingdings 3"/>
        <family val="1"/>
        <charset val="2"/>
      </rPr>
      <t xml:space="preserve">" </t>
    </r>
    <r>
      <rPr>
        <sz val="11"/>
        <color theme="1"/>
        <rFont val="Calibri"/>
        <family val="2"/>
        <scheme val="minor"/>
      </rPr>
      <t>Vertriebskosten der Direktvermarktung sind mit einem pauschalen Kostenansatz je kg Honig veranschlagt (2,00 EUR/kg)</t>
    </r>
  </si>
  <si>
    <t>kg</t>
  </si>
  <si>
    <t>Pauschalkosten Vertrieb</t>
  </si>
  <si>
    <t>EUR/kg Futtermittel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</si>
</sst>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3" formatCode="_-* #,##0.00_-;\-* #,##0.00_-;_-* &quot;-&quot;??_-;_-@_-"/>
    <numFmt numFmtId="164" formatCode="#,##0\ &quot;kg&quot;"/>
    <numFmt numFmtId="165" formatCode="#,##0.00\ &quot;EUR&quot;"/>
    <numFmt numFmtId="166" formatCode="#,##0.00\ &quot;EUR/kg&quot;"/>
    <numFmt numFmtId="167" formatCode="#,##0\ &quot;Jahre&quot;"/>
    <numFmt numFmtId="168" formatCode="#,##0\ &quot;AKmin&quot;"/>
    <numFmt numFmtId="169" formatCode="#,##0\ &quot;x&quot;"/>
    <numFmt numFmtId="170" formatCode="#,##0.00\ &quot;EUR/AKh&quot;"/>
    <numFmt numFmtId="171" formatCode="#,##0.00\ &quot;EUR/WV&quot;"/>
    <numFmt numFmtId="172" formatCode="#,##0.00\ &quot;EUR/Jahr&quot;"/>
    <numFmt numFmtId="173" formatCode="#,##0\ &quot;AKmin/Vorgang&quot;"/>
    <numFmt numFmtId="174" formatCode="#,##0.00\ &quot;EUR/Stck&quot;"/>
    <numFmt numFmtId="175" formatCode="#,##0.0\ &quot;AKmin&quot;"/>
    <numFmt numFmtId="176" formatCode="#,##0\ &quot;m²&quot;"/>
    <numFmt numFmtId="177" formatCode="#,##0.00\ &quot;EUR Invest avg&quot;"/>
    <numFmt numFmtId="178" formatCode="0.0%"/>
    <numFmt numFmtId="179" formatCode="#,##0\ &quot;Stück&quot;"/>
    <numFmt numFmtId="180" formatCode="#,##0.0\ &quot;x&quot;"/>
    <numFmt numFmtId="181" formatCode="#,##0.00\ &quot;EUR/Eichung&quot;"/>
    <numFmt numFmtId="182" formatCode="#,##0\ &quot;Monat&quot;"/>
    <numFmt numFmtId="183" formatCode="#,##0.00\ &quot;EUR/m²&quot;"/>
    <numFmt numFmtId="184" formatCode="#,##0.00\ &quot;EUR/km&quot;"/>
    <numFmt numFmtId="185" formatCode="#,##0\ &quot;Jahr(e)&quot;"/>
    <numFmt numFmtId="186" formatCode="_-* #,##0_-;\-* #,##0_-;_-* &quot;-&quot;??_-;_-@_-"/>
    <numFmt numFmtId="187" formatCode="0.0"/>
    <numFmt numFmtId="188" formatCode="#,##0.00\ &quot;EUR/kWh&quot;"/>
    <numFmt numFmtId="189" formatCode="#,##0\ &quot;kWh/WV&quot;"/>
    <numFmt numFmtId="190" formatCode="#,##0.0\ &quot;kWh/kg Honig&quot;"/>
    <numFmt numFmtId="191" formatCode="#,##0.00\ &quot;EUR pauschal&quot;"/>
    <numFmt numFmtId="192" formatCode="#,##0.00\ &quot;EUR / Glas+Pappe+Plastik&quot;"/>
    <numFmt numFmtId="193" formatCode="_-* #,##0.0_-;\-* #,##0.0_-;_-* &quot;-&quot;??_-;_-@_-"/>
    <numFmt numFmtId="194" formatCode="#,##0\ &quot;EUR/kg&quot;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Wingdings 3"/>
      <family val="1"/>
      <charset val="2"/>
    </font>
    <font>
      <sz val="11"/>
      <color theme="1"/>
      <name val="Calibri"/>
      <family val="1"/>
      <charset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82">
    <xf numFmtId="0" fontId="0" fillId="0" borderId="0" xfId="0"/>
    <xf numFmtId="186" fontId="0" fillId="2" borderId="0" xfId="1" applyNumberFormat="1" applyFont="1" applyFill="1" applyAlignment="1" applyProtection="1">
      <alignment horizontal="right"/>
      <protection locked="0"/>
    </xf>
    <xf numFmtId="43" fontId="9" fillId="2" borderId="0" xfId="1" applyFont="1" applyFill="1" applyAlignment="1" applyProtection="1">
      <alignment horizontal="right"/>
      <protection locked="0"/>
    </xf>
    <xf numFmtId="9" fontId="0" fillId="2" borderId="0" xfId="4" applyFont="1" applyFill="1" applyAlignment="1" applyProtection="1">
      <alignment horizontal="right"/>
      <protection locked="0"/>
    </xf>
    <xf numFmtId="43" fontId="0" fillId="2" borderId="0" xfId="1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vertical="top"/>
      <protection locked="0"/>
    </xf>
    <xf numFmtId="9" fontId="0" fillId="2" borderId="0" xfId="4" applyFont="1" applyFill="1" applyAlignment="1" applyProtection="1">
      <alignment vertical="top"/>
      <protection locked="0"/>
    </xf>
    <xf numFmtId="186" fontId="0" fillId="2" borderId="0" xfId="1" applyNumberFormat="1" applyFont="1" applyFill="1" applyAlignment="1" applyProtection="1">
      <alignment horizontal="right" vertical="top"/>
      <protection locked="0"/>
    </xf>
    <xf numFmtId="9" fontId="0" fillId="2" borderId="0" xfId="4" applyFont="1" applyFill="1" applyAlignment="1" applyProtection="1">
      <alignment horizontal="right" vertical="top"/>
      <protection locked="0"/>
    </xf>
    <xf numFmtId="43" fontId="0" fillId="2" borderId="0" xfId="1" applyFont="1" applyFill="1" applyAlignment="1" applyProtection="1">
      <alignment horizontal="right" vertical="top"/>
      <protection locked="0"/>
    </xf>
    <xf numFmtId="0" fontId="1" fillId="5" borderId="0" xfId="0" applyFont="1" applyFill="1" applyAlignment="1" applyProtection="1">
      <alignment horizontal="center" wrapText="1"/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protection locked="0"/>
    </xf>
    <xf numFmtId="0" fontId="1" fillId="5" borderId="0" xfId="0" applyFont="1" applyFill="1" applyAlignment="1" applyProtection="1">
      <alignment horizontal="left" wrapText="1"/>
      <protection locked="0"/>
    </xf>
    <xf numFmtId="0" fontId="1" fillId="5" borderId="0" xfId="0" applyFont="1" applyFill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protection locked="0"/>
    </xf>
    <xf numFmtId="0" fontId="0" fillId="5" borderId="0" xfId="0" applyFill="1" applyProtection="1">
      <protection locked="0"/>
    </xf>
    <xf numFmtId="167" fontId="0" fillId="2" borderId="0" xfId="0" applyNumberFormat="1" applyFill="1" applyProtection="1">
      <protection locked="0"/>
    </xf>
    <xf numFmtId="165" fontId="0" fillId="2" borderId="0" xfId="1" applyNumberFormat="1" applyFont="1" applyFill="1" applyProtection="1">
      <protection locked="0"/>
    </xf>
    <xf numFmtId="4" fontId="0" fillId="0" borderId="0" xfId="0" applyNumberFormat="1" applyProtection="1">
      <protection locked="0"/>
    </xf>
    <xf numFmtId="4" fontId="0" fillId="0" borderId="0" xfId="1" applyNumberFormat="1" applyFont="1" applyAlignment="1" applyProtection="1">
      <alignment horizontal="right"/>
      <protection locked="0"/>
    </xf>
    <xf numFmtId="165" fontId="0" fillId="0" borderId="0" xfId="1" applyNumberFormat="1" applyFont="1" applyProtection="1">
      <protection locked="0"/>
    </xf>
    <xf numFmtId="9" fontId="0" fillId="0" borderId="0" xfId="0" applyNumberFormat="1" applyProtection="1">
      <protection locked="0"/>
    </xf>
    <xf numFmtId="165" fontId="0" fillId="3" borderId="0" xfId="1" applyNumberFormat="1" applyFont="1" applyFill="1" applyProtection="1">
      <protection locked="0"/>
    </xf>
    <xf numFmtId="0" fontId="0" fillId="3" borderId="0" xfId="0" applyFill="1" applyProtection="1">
      <protection locked="0"/>
    </xf>
    <xf numFmtId="174" fontId="0" fillId="2" borderId="0" xfId="0" applyNumberFormat="1" applyFill="1" applyProtection="1">
      <protection locked="0"/>
    </xf>
    <xf numFmtId="164" fontId="0" fillId="3" borderId="0" xfId="0" applyNumberFormat="1" applyFill="1" applyProtection="1">
      <protection locked="0"/>
    </xf>
    <xf numFmtId="164" fontId="0" fillId="0" borderId="0" xfId="0" applyNumberFormat="1" applyProtection="1">
      <protection locked="0"/>
    </xf>
    <xf numFmtId="166" fontId="0" fillId="3" borderId="0" xfId="0" applyNumberFormat="1" applyFill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169" fontId="0" fillId="3" borderId="0" xfId="0" applyNumberFormat="1" applyFill="1" applyProtection="1">
      <protection locked="0"/>
    </xf>
    <xf numFmtId="168" fontId="0" fillId="2" borderId="0" xfId="0" applyNumberFormat="1" applyFill="1" applyProtection="1">
      <protection locked="0"/>
    </xf>
    <xf numFmtId="170" fontId="0" fillId="0" borderId="0" xfId="0" applyNumberFormat="1" applyAlignment="1" applyProtection="1">
      <alignment horizontal="left" indent="3"/>
      <protection locked="0"/>
    </xf>
    <xf numFmtId="0" fontId="0" fillId="2" borderId="0" xfId="0" applyFill="1" applyProtection="1">
      <protection locked="0"/>
    </xf>
    <xf numFmtId="165" fontId="0" fillId="0" borderId="0" xfId="0" applyNumberFormat="1" applyProtection="1">
      <protection locked="0"/>
    </xf>
    <xf numFmtId="169" fontId="0" fillId="2" borderId="0" xfId="0" applyNumberFormat="1" applyFill="1" applyProtection="1">
      <protection locked="0"/>
    </xf>
    <xf numFmtId="184" fontId="0" fillId="2" borderId="0" xfId="0" applyNumberFormat="1" applyFill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9" fontId="0" fillId="0" borderId="0" xfId="4" applyFont="1" applyAlignment="1" applyProtection="1">
      <alignment horizontal="left" indent="3"/>
      <protection locked="0"/>
    </xf>
    <xf numFmtId="182" fontId="0" fillId="0" borderId="0" xfId="0" applyNumberFormat="1" applyProtection="1">
      <protection locked="0"/>
    </xf>
    <xf numFmtId="176" fontId="0" fillId="4" borderId="0" xfId="0" applyNumberFormat="1" applyFill="1" applyProtection="1">
      <protection locked="0"/>
    </xf>
    <xf numFmtId="183" fontId="0" fillId="2" borderId="0" xfId="0" applyNumberFormat="1" applyFill="1" applyProtection="1">
      <protection locked="0"/>
    </xf>
    <xf numFmtId="176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177" fontId="0" fillId="0" borderId="0" xfId="0" applyNumberFormat="1" applyFont="1" applyProtection="1">
      <protection locked="0"/>
    </xf>
    <xf numFmtId="178" fontId="0" fillId="2" borderId="0" xfId="0" applyNumberFormat="1" applyFill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0" fontId="0" fillId="11" borderId="0" xfId="0" applyFill="1" applyProtection="1">
      <protection locked="0"/>
    </xf>
    <xf numFmtId="171" fontId="0" fillId="2" borderId="0" xfId="0" applyNumberFormat="1" applyFill="1" applyProtection="1">
      <protection locked="0"/>
    </xf>
    <xf numFmtId="172" fontId="0" fillId="2" borderId="0" xfId="0" applyNumberFormat="1" applyFill="1" applyAlignment="1" applyProtection="1">
      <alignment horizontal="right"/>
      <protection locked="0"/>
    </xf>
    <xf numFmtId="168" fontId="0" fillId="3" borderId="0" xfId="0" applyNumberFormat="1" applyFill="1" applyProtection="1">
      <protection locked="0"/>
    </xf>
    <xf numFmtId="171" fontId="0" fillId="3" borderId="0" xfId="0" applyNumberFormat="1" applyFill="1" applyProtection="1">
      <protection locked="0"/>
    </xf>
    <xf numFmtId="165" fontId="0" fillId="4" borderId="0" xfId="1" applyNumberFormat="1" applyFont="1" applyFill="1" applyProtection="1">
      <protection locked="0"/>
    </xf>
    <xf numFmtId="164" fontId="0" fillId="2" borderId="0" xfId="0" applyNumberFormat="1" applyFill="1" applyProtection="1">
      <protection locked="0"/>
    </xf>
    <xf numFmtId="166" fontId="0" fillId="2" borderId="0" xfId="0" applyNumberFormat="1" applyFill="1" applyProtection="1">
      <protection locked="0"/>
    </xf>
    <xf numFmtId="185" fontId="0" fillId="0" borderId="0" xfId="0" applyNumberFormat="1" applyFont="1" applyAlignment="1" applyProtection="1">
      <alignment horizontal="right"/>
      <protection locked="0"/>
    </xf>
    <xf numFmtId="189" fontId="0" fillId="2" borderId="0" xfId="0" applyNumberFormat="1" applyFill="1" applyProtection="1">
      <protection locked="0"/>
    </xf>
    <xf numFmtId="188" fontId="0" fillId="2" borderId="0" xfId="0" applyNumberFormat="1" applyFill="1" applyProtection="1">
      <protection locked="0"/>
    </xf>
    <xf numFmtId="169" fontId="0" fillId="4" borderId="0" xfId="0" applyNumberFormat="1" applyFill="1" applyProtection="1">
      <protection locked="0"/>
    </xf>
    <xf numFmtId="175" fontId="0" fillId="2" borderId="0" xfId="0" applyNumberFormat="1" applyFill="1" applyProtection="1">
      <protection locked="0"/>
    </xf>
    <xf numFmtId="175" fontId="0" fillId="3" borderId="0" xfId="0" applyNumberFormat="1" applyFill="1" applyProtection="1">
      <protection locked="0"/>
    </xf>
    <xf numFmtId="43" fontId="0" fillId="4" borderId="0" xfId="1" applyFont="1" applyFill="1" applyProtection="1">
      <protection locked="0"/>
    </xf>
    <xf numFmtId="43" fontId="0" fillId="2" borderId="0" xfId="1" applyFont="1" applyFill="1" applyProtection="1">
      <protection locked="0"/>
    </xf>
    <xf numFmtId="43" fontId="0" fillId="0" borderId="0" xfId="1" applyNumberFormat="1" applyFont="1" applyProtection="1">
      <protection locked="0"/>
    </xf>
    <xf numFmtId="190" fontId="0" fillId="2" borderId="0" xfId="0" applyNumberFormat="1" applyFill="1" applyProtection="1">
      <protection locked="0"/>
    </xf>
    <xf numFmtId="179" fontId="0" fillId="0" borderId="0" xfId="0" applyNumberForma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180" fontId="0" fillId="2" borderId="0" xfId="0" applyNumberFormat="1" applyFill="1" applyProtection="1">
      <protection locked="0"/>
    </xf>
    <xf numFmtId="181" fontId="0" fillId="2" borderId="0" xfId="0" applyNumberFormat="1" applyFill="1" applyAlignment="1" applyProtection="1">
      <alignment horizontal="right"/>
      <protection locked="0"/>
    </xf>
    <xf numFmtId="43" fontId="0" fillId="0" borderId="0" xfId="0" applyNumberFormat="1" applyProtection="1">
      <protection locked="0"/>
    </xf>
    <xf numFmtId="192" fontId="0" fillId="2" borderId="0" xfId="1" applyNumberFormat="1" applyFont="1" applyFill="1" applyProtection="1">
      <protection locked="0"/>
    </xf>
    <xf numFmtId="191" fontId="0" fillId="0" borderId="0" xfId="0" applyNumberFormat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3"/>
      <protection locked="0"/>
    </xf>
    <xf numFmtId="172" fontId="0" fillId="2" borderId="0" xfId="0" applyNumberFormat="1" applyFill="1" applyProtection="1">
      <protection locked="0"/>
    </xf>
    <xf numFmtId="0" fontId="0" fillId="0" borderId="0" xfId="0" applyFont="1" applyAlignment="1" applyProtection="1">
      <alignment wrapText="1"/>
      <protection locked="0"/>
    </xf>
    <xf numFmtId="194" fontId="0" fillId="0" borderId="0" xfId="0" applyNumberFormat="1" applyProtection="1">
      <protection locked="0"/>
    </xf>
    <xf numFmtId="173" fontId="0" fillId="3" borderId="0" xfId="0" applyNumberFormat="1" applyFill="1" applyProtection="1">
      <protection locked="0"/>
    </xf>
    <xf numFmtId="178" fontId="0" fillId="3" borderId="0" xfId="0" applyNumberFormat="1" applyFill="1" applyProtection="1">
      <protection locked="0"/>
    </xf>
    <xf numFmtId="0" fontId="0" fillId="5" borderId="0" xfId="0" applyFont="1" applyFill="1" applyAlignment="1" applyProtection="1">
      <alignment horizontal="center"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4" fontId="1" fillId="5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1" fillId="2" borderId="1" xfId="4" applyNumberFormat="1" applyFont="1" applyFill="1" applyBorder="1" applyAlignment="1" applyProtection="1">
      <alignment horizontal="right" vertical="center"/>
      <protection locked="0"/>
    </xf>
    <xf numFmtId="0" fontId="11" fillId="8" borderId="2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78" fontId="0" fillId="2" borderId="1" xfId="4" applyNumberFormat="1" applyFont="1" applyFill="1" applyBorder="1" applyAlignment="1" applyProtection="1">
      <alignment horizontal="right"/>
      <protection locked="0"/>
    </xf>
    <xf numFmtId="0" fontId="0" fillId="0" borderId="2" xfId="0" applyFont="1" applyBorder="1" applyProtection="1">
      <protection locked="0"/>
    </xf>
    <xf numFmtId="178" fontId="1" fillId="2" borderId="1" xfId="4" applyNumberFormat="1" applyFont="1" applyFill="1" applyBorder="1" applyAlignment="1" applyProtection="1">
      <alignment horizontal="right"/>
      <protection locked="0"/>
    </xf>
    <xf numFmtId="0" fontId="1" fillId="0" borderId="2" xfId="0" applyFont="1" applyBorder="1" applyProtection="1">
      <protection locked="0"/>
    </xf>
    <xf numFmtId="0" fontId="0" fillId="0" borderId="3" xfId="0" applyFont="1" applyBorder="1" applyProtection="1">
      <protection locked="0"/>
    </xf>
    <xf numFmtId="1" fontId="0" fillId="2" borderId="1" xfId="1" applyNumberFormat="1" applyFon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187" fontId="0" fillId="2" borderId="1" xfId="1" applyNumberFormat="1" applyFont="1" applyFill="1" applyBorder="1" applyAlignment="1" applyProtection="1">
      <alignment horizontal="right"/>
      <protection locked="0"/>
    </xf>
    <xf numFmtId="2" fontId="0" fillId="2" borderId="1" xfId="1" applyNumberFormat="1" applyFont="1" applyFill="1" applyBorder="1" applyAlignment="1" applyProtection="1">
      <alignment horizontal="right"/>
      <protection locked="0"/>
    </xf>
    <xf numFmtId="0" fontId="0" fillId="0" borderId="2" xfId="0" quotePrefix="1" applyFont="1" applyBorder="1" applyProtection="1"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1" fillId="1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pivotButton="1" applyFont="1" applyAlignment="1" applyProtection="1">
      <alignment wrapText="1"/>
      <protection locked="0"/>
    </xf>
    <xf numFmtId="0" fontId="0" fillId="0" borderId="0" xfId="0" pivotButton="1" applyProtection="1">
      <protection locked="0"/>
    </xf>
    <xf numFmtId="43" fontId="0" fillId="0" borderId="0" xfId="0" applyNumberFormat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left"/>
      <protection locked="0"/>
    </xf>
    <xf numFmtId="43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 indent="1"/>
      <protection locked="0"/>
    </xf>
    <xf numFmtId="186" fontId="0" fillId="0" borderId="0" xfId="0" applyNumberFormat="1" applyProtection="1">
      <protection locked="0"/>
    </xf>
    <xf numFmtId="193" fontId="0" fillId="0" borderId="0" xfId="0" applyNumberFormat="1" applyProtection="1">
      <protection locked="0"/>
    </xf>
    <xf numFmtId="0" fontId="0" fillId="0" borderId="0" xfId="0" applyProtection="1"/>
    <xf numFmtId="0" fontId="17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vertical="center" wrapText="1"/>
    </xf>
    <xf numFmtId="43" fontId="0" fillId="0" borderId="0" xfId="1" applyNumberFormat="1" applyFont="1" applyProtection="1"/>
    <xf numFmtId="0" fontId="0" fillId="0" borderId="0" xfId="0" applyAlignment="1" applyProtection="1">
      <alignment horizontal="right"/>
    </xf>
    <xf numFmtId="0" fontId="0" fillId="6" borderId="0" xfId="0" applyFill="1" applyAlignment="1" applyProtection="1">
      <alignment horizontal="left" vertical="top" wrapText="1"/>
    </xf>
    <xf numFmtId="0" fontId="1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3" fillId="14" borderId="0" xfId="0" applyFont="1" applyFill="1" applyAlignment="1" applyProtection="1">
      <alignment horizontal="right" vertical="center"/>
    </xf>
    <xf numFmtId="0" fontId="3" fillId="14" borderId="0" xfId="0" applyFont="1" applyFill="1" applyAlignment="1" applyProtection="1">
      <alignment horizontal="center" vertical="center"/>
    </xf>
    <xf numFmtId="0" fontId="3" fillId="14" borderId="0" xfId="0" applyFont="1" applyFill="1" applyAlignment="1" applyProtection="1">
      <alignment vertical="center"/>
    </xf>
    <xf numFmtId="0" fontId="9" fillId="14" borderId="0" xfId="0" applyFont="1" applyFill="1" applyAlignment="1" applyProtection="1">
      <alignment vertical="center"/>
    </xf>
    <xf numFmtId="0" fontId="18" fillId="14" borderId="0" xfId="0" applyFont="1" applyFill="1" applyAlignment="1" applyProtection="1">
      <alignment vertical="center"/>
    </xf>
    <xf numFmtId="0" fontId="12" fillId="14" borderId="0" xfId="0" applyFont="1" applyFill="1" applyAlignment="1" applyProtection="1">
      <alignment vertical="center"/>
    </xf>
    <xf numFmtId="0" fontId="0" fillId="12" borderId="0" xfId="0" applyFont="1" applyFill="1" applyAlignment="1" applyProtection="1">
      <alignment horizontal="right" vertical="center"/>
    </xf>
    <xf numFmtId="0" fontId="0" fillId="12" borderId="0" xfId="0" applyFont="1" applyFill="1" applyAlignment="1" applyProtection="1">
      <alignment vertical="center"/>
    </xf>
    <xf numFmtId="0" fontId="9" fillId="12" borderId="0" xfId="0" applyFont="1" applyFill="1" applyAlignment="1" applyProtection="1">
      <alignment vertical="center"/>
    </xf>
    <xf numFmtId="0" fontId="10" fillId="12" borderId="0" xfId="3" quotePrefix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0" fontId="3" fillId="13" borderId="0" xfId="0" applyFont="1" applyFill="1" applyAlignment="1" applyProtection="1">
      <alignment vertical="center"/>
    </xf>
    <xf numFmtId="0" fontId="3" fillId="13" borderId="0" xfId="0" applyFont="1" applyFill="1" applyAlignment="1" applyProtection="1">
      <alignment horizontal="center" vertical="center"/>
    </xf>
    <xf numFmtId="0" fontId="12" fillId="13" borderId="0" xfId="0" applyFont="1" applyFill="1" applyAlignment="1" applyProtection="1">
      <alignment vertical="center"/>
    </xf>
    <xf numFmtId="43" fontId="0" fillId="0" borderId="0" xfId="1" applyNumberFormat="1" applyFont="1" applyAlignment="1" applyProtection="1">
      <alignment vertical="center"/>
    </xf>
    <xf numFmtId="0" fontId="10" fillId="0" borderId="0" xfId="0" applyFont="1" applyProtection="1"/>
    <xf numFmtId="0" fontId="0" fillId="7" borderId="0" xfId="0" applyFill="1" applyProtection="1"/>
    <xf numFmtId="0" fontId="10" fillId="7" borderId="0" xfId="0" applyFont="1" applyFill="1" applyProtection="1"/>
    <xf numFmtId="0" fontId="13" fillId="7" borderId="0" xfId="3" quotePrefix="1" applyFont="1" applyFill="1" applyProtection="1"/>
    <xf numFmtId="0" fontId="1" fillId="0" borderId="0" xfId="0" applyFont="1" applyProtection="1"/>
    <xf numFmtId="0" fontId="11" fillId="0" borderId="0" xfId="0" applyFont="1" applyProtection="1"/>
    <xf numFmtId="0" fontId="0" fillId="7" borderId="0" xfId="0" applyFill="1" applyAlignment="1" applyProtection="1">
      <alignment vertical="top"/>
    </xf>
    <xf numFmtId="0" fontId="13" fillId="7" borderId="0" xfId="3" quotePrefix="1" applyNumberFormat="1" applyFont="1" applyFill="1" applyAlignment="1" applyProtection="1">
      <alignment vertical="top"/>
    </xf>
    <xf numFmtId="0" fontId="0" fillId="7" borderId="0" xfId="0" applyFill="1" applyAlignment="1" applyProtection="1">
      <alignment vertical="top" wrapText="1"/>
    </xf>
    <xf numFmtId="0" fontId="5" fillId="7" borderId="0" xfId="3" quotePrefix="1" applyNumberFormat="1" applyFill="1" applyAlignment="1" applyProtection="1">
      <alignment vertical="top" wrapText="1"/>
    </xf>
    <xf numFmtId="0" fontId="1" fillId="0" borderId="0" xfId="0" applyFont="1" applyAlignment="1" applyProtection="1">
      <alignment horizontal="right"/>
    </xf>
    <xf numFmtId="0" fontId="9" fillId="0" borderId="0" xfId="0" applyFont="1" applyProtection="1"/>
    <xf numFmtId="0" fontId="9" fillId="7" borderId="0" xfId="0" applyFont="1" applyFill="1" applyAlignment="1" applyProtection="1">
      <alignment horizontal="left" indent="4"/>
    </xf>
    <xf numFmtId="0" fontId="9" fillId="7" borderId="0" xfId="0" applyFont="1" applyFill="1" applyProtection="1"/>
    <xf numFmtId="0" fontId="14" fillId="7" borderId="0" xfId="0" applyFont="1" applyFill="1" applyProtection="1"/>
    <xf numFmtId="0" fontId="9" fillId="0" borderId="0" xfId="0" applyFont="1" applyAlignment="1" applyProtection="1">
      <alignment horizontal="right"/>
    </xf>
    <xf numFmtId="43" fontId="0" fillId="7" borderId="0" xfId="1" applyFont="1" applyFill="1" applyAlignment="1" applyProtection="1">
      <alignment horizontal="right"/>
    </xf>
    <xf numFmtId="0" fontId="0" fillId="7" borderId="0" xfId="0" applyFont="1" applyFill="1" applyProtection="1"/>
    <xf numFmtId="0" fontId="10" fillId="7" borderId="0" xfId="3" quotePrefix="1" applyNumberFormat="1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0" fontId="13" fillId="7" borderId="0" xfId="3" quotePrefix="1" applyFont="1" applyFill="1" applyAlignment="1" applyProtection="1">
      <alignment vertical="top"/>
    </xf>
    <xf numFmtId="0" fontId="0" fillId="0" borderId="0" xfId="0" applyAlignment="1" applyProtection="1">
      <alignment horizontal="right" vertical="top"/>
    </xf>
    <xf numFmtId="170" fontId="0" fillId="7" borderId="0" xfId="0" applyNumberFormat="1" applyFill="1" applyAlignment="1" applyProtection="1">
      <alignment horizontal="left" vertical="top"/>
    </xf>
    <xf numFmtId="0" fontId="13" fillId="7" borderId="0" xfId="3" quotePrefix="1" applyFont="1" applyFill="1" applyAlignment="1" applyProtection="1">
      <alignment vertical="top" wrapText="1"/>
    </xf>
    <xf numFmtId="0" fontId="0" fillId="3" borderId="0" xfId="0" applyFont="1" applyFill="1" applyAlignment="1" applyProtection="1">
      <alignment vertical="center"/>
    </xf>
    <xf numFmtId="0" fontId="10" fillId="3" borderId="0" xfId="3" quotePrefix="1" applyFont="1" applyFill="1" applyBorder="1" applyAlignment="1" applyProtection="1">
      <alignment vertical="center" wrapText="1"/>
    </xf>
    <xf numFmtId="0" fontId="0" fillId="3" borderId="0" xfId="0" applyFill="1" applyAlignment="1" applyProtection="1">
      <alignment vertical="center"/>
    </xf>
    <xf numFmtId="0" fontId="0" fillId="3" borderId="0" xfId="0" applyFill="1" applyAlignment="1" applyProtection="1">
      <alignment horizontal="right" vertical="center"/>
    </xf>
    <xf numFmtId="0" fontId="8" fillId="5" borderId="0" xfId="0" applyFont="1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0" fillId="5" borderId="0" xfId="0" applyFill="1" applyAlignment="1" applyProtection="1">
      <alignment horizontal="left" vertical="top" wrapText="1"/>
    </xf>
    <xf numFmtId="0" fontId="8" fillId="5" borderId="0" xfId="0" applyFont="1" applyFill="1" applyAlignment="1" applyProtection="1">
      <alignment horizontal="left" indent="1"/>
    </xf>
    <xf numFmtId="0" fontId="0" fillId="5" borderId="0" xfId="0" applyFill="1" applyAlignment="1" applyProtection="1">
      <alignment horizontal="left" vertical="top" wrapText="1"/>
    </xf>
    <xf numFmtId="0" fontId="0" fillId="5" borderId="0" xfId="0" applyFill="1" applyProtection="1"/>
    <xf numFmtId="0" fontId="8" fillId="5" borderId="0" xfId="0" applyFont="1" applyFill="1" applyAlignment="1" applyProtection="1">
      <alignment horizontal="right" indent="1"/>
    </xf>
    <xf numFmtId="0" fontId="5" fillId="5" borderId="0" xfId="3" applyFill="1" applyProtection="1"/>
    <xf numFmtId="43" fontId="1" fillId="0" borderId="0" xfId="1" applyNumberFormat="1" applyFont="1" applyProtection="1"/>
    <xf numFmtId="0" fontId="0" fillId="2" borderId="0" xfId="0" applyFill="1" applyAlignment="1" applyProtection="1">
      <alignment horizontal="right"/>
      <protection locked="0"/>
    </xf>
    <xf numFmtId="43" fontId="1" fillId="12" borderId="0" xfId="1" applyFont="1" applyFill="1" applyAlignment="1" applyProtection="1">
      <alignment horizontal="right" vertical="center"/>
    </xf>
    <xf numFmtId="43" fontId="9" fillId="12" borderId="0" xfId="1" applyFont="1" applyFill="1" applyAlignment="1" applyProtection="1">
      <alignment horizontal="right" vertical="center"/>
    </xf>
    <xf numFmtId="43" fontId="1" fillId="3" borderId="0" xfId="1" applyFont="1" applyFill="1" applyAlignment="1" applyProtection="1">
      <alignment horizontal="right" vertical="center"/>
    </xf>
  </cellXfs>
  <cellStyles count="5">
    <cellStyle name="Komma" xfId="1" builtinId="3"/>
    <cellStyle name="Link" xfId="3" builtinId="8"/>
    <cellStyle name="Prozent" xfId="4" builtinId="5"/>
    <cellStyle name="Standard" xfId="0" builtinId="0"/>
    <cellStyle name="Standard 2" xfId="2" xr:uid="{F9464E48-DA25-42F9-AC7E-197C19F493DD}"/>
  </cellStyles>
  <dxfs count="510">
    <dxf>
      <numFmt numFmtId="186" formatCode="_-* #,##0_-;\-* #,##0_-;_-* &quot;-&quot;??_-;_-@_-"/>
    </dxf>
    <dxf>
      <alignment horizontal="right"/>
    </dxf>
    <dxf>
      <alignment horizontal="right"/>
    </dxf>
    <dxf>
      <numFmt numFmtId="193" formatCode="_-* #,##0.0_-;\-* #,##0.0_-;_-* &quot;-&quot;??_-;_-@_-"/>
    </dxf>
    <dxf>
      <alignment horizontal="center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horizontal="right"/>
    </dxf>
    <dxf>
      <alignment horizontal="right"/>
    </dxf>
    <dxf>
      <font>
        <b/>
      </font>
      <alignment wrapText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horizontal="right"/>
    </dxf>
    <dxf>
      <alignment horizontal="right"/>
    </dxf>
    <dxf>
      <font>
        <b/>
      </font>
      <alignment wrapText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/>
    </dxf>
    <dxf>
      <alignment vertical="top"/>
    </dxf>
    <dxf>
      <alignment wrapText="1"/>
    </dxf>
    <dxf>
      <alignment horizontal="right"/>
    </dxf>
    <dxf>
      <alignment horizontal="right"/>
    </dxf>
    <dxf>
      <font>
        <b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86" formatCode="_-* #,##0_-;\-* #,##0_-;_-* &quot;-&quot;??_-;_-@_-"/>
    </dxf>
    <dxf>
      <alignment horizontal="right"/>
    </dxf>
    <dxf>
      <alignment horizontal="right"/>
    </dxf>
    <dxf>
      <numFmt numFmtId="193" formatCode="_-* #,##0.0_-;\-* #,##0.0_-;_-* &quot;-&quot;??_-;_-@_-"/>
    </dxf>
    <dxf>
      <alignment horizontal="center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/>
    </dxf>
    <dxf>
      <numFmt numFmtId="193" formatCode="_-* #,##0.0_-;\-* #,##0.0_-;_-* &quot;-&quot;??_-;_-@_-"/>
    </dxf>
    <dxf>
      <alignment horizontal="right"/>
    </dxf>
    <dxf>
      <alignment horizontal="right"/>
    </dxf>
    <dxf>
      <numFmt numFmtId="186" formatCode="_-* #,##0_-;\-* #,##0_-;_-* &quot;-&quot;??_-;_-@_-"/>
    </dxf>
    <dxf>
      <font>
        <b/>
      </font>
    </dxf>
    <dxf>
      <alignment horizontal="right"/>
    </dxf>
    <dxf>
      <alignment horizontal="right"/>
    </dxf>
    <dxf>
      <alignment wrapText="1"/>
    </dxf>
    <dxf>
      <alignment vertical="top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</dxf>
    <dxf>
      <alignment horizontal="right"/>
    </dxf>
    <dxf>
      <alignment wrapText="1"/>
    </dxf>
    <dxf>
      <alignment vertical="top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  <alignment wrapText="1"/>
    </dxf>
    <dxf>
      <alignment horizontal="right"/>
    </dxf>
    <dxf>
      <alignment horizontal="right"/>
    </dxf>
    <dxf>
      <alignment vertical="top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</dxf>
    <dxf>
      <alignment horizontal="right"/>
    </dxf>
    <dxf>
      <alignment horizontal="right"/>
    </dxf>
    <dxf>
      <alignment wrapText="1"/>
    </dxf>
    <dxf>
      <alignment vertical="top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</dxf>
    <dxf>
      <alignment horizontal="right"/>
    </dxf>
    <dxf>
      <alignment wrapText="1"/>
    </dxf>
    <dxf>
      <alignment vertical="top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</dxf>
    <dxf>
      <alignment horizontal="right"/>
    </dxf>
    <dxf>
      <alignment horizontal="right"/>
    </dxf>
    <dxf>
      <alignment wrapText="1"/>
    </dxf>
    <dxf>
      <alignment vertical="top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</dxf>
    <dxf>
      <alignment horizontal="right"/>
    </dxf>
    <dxf>
      <alignment horizontal="right"/>
    </dxf>
    <dxf>
      <alignment wrapText="1"/>
    </dxf>
    <dxf>
      <alignment vertical="top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</dxf>
    <dxf>
      <alignment horizontal="right"/>
    </dxf>
    <dxf>
      <alignment wrapText="1"/>
    </dxf>
    <dxf>
      <alignment vertical="top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/>
      </font>
    </dxf>
    <dxf>
      <alignment horizontal="right"/>
    </dxf>
    <dxf>
      <alignment horizontal="right"/>
    </dxf>
    <dxf>
      <alignment wrapText="1"/>
    </dxf>
    <dxf>
      <alignment vertical="top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1" defaultTableStyle="TableStyleMedium2" defaultPivotStyle="PivotStyleLight16">
    <tableStyle name="Invisible" pivot="0" table="0" count="0" xr9:uid="{634F25EE-4EF8-4355-881E-9C3C7F819D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pivotCacheDefinition" Target="pivotCache/pivotCacheDefinition2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491489</xdr:colOff>
      <xdr:row>0</xdr:row>
      <xdr:rowOff>428624</xdr:rowOff>
    </xdr:from>
    <xdr:to>
      <xdr:col>3</xdr:col>
      <xdr:colOff>1308737</xdr:colOff>
      <xdr:row>0</xdr:row>
      <xdr:rowOff>1371600</xdr:rowOff>
    </xdr:to>
    <xdr:pic>
      <xdr:nvPicPr>
        <xdr:cNvPr id="6" name="Grafik 2">
          <a:extLst>
            <a:ext uri="{FF2B5EF4-FFF2-40B4-BE49-F238E27FC236}">
              <a16:creationId xmlns:a16="http://schemas.microsoft.com/office/drawing/2014/main" id="{C858A9A3-371A-F62B-536B-AAE87CAA6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38" t="21734" r="15695" b="23930"/>
        <a:stretch>
          <a:fillRect/>
        </a:stretch>
      </xdr:blipFill>
      <xdr:spPr bwMode="auto">
        <a:xfrm>
          <a:off x="4101464" y="428624"/>
          <a:ext cx="817248" cy="94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absolute">
    <xdr:from>
      <xdr:col>2</xdr:col>
      <xdr:colOff>333275</xdr:colOff>
      <xdr:row>0</xdr:row>
      <xdr:rowOff>511888</xdr:rowOff>
    </xdr:from>
    <xdr:to>
      <xdr:col>3</xdr:col>
      <xdr:colOff>190500</xdr:colOff>
      <xdr:row>0</xdr:row>
      <xdr:rowOff>1314011</xdr:rowOff>
    </xdr:to>
    <xdr:pic>
      <xdr:nvPicPr>
        <xdr:cNvPr id="4" name="Grafik 3" descr="DIB Echter deutscher Honig Rapshonig 500 g">
          <a:extLst>
            <a:ext uri="{FF2B5EF4-FFF2-40B4-BE49-F238E27FC236}">
              <a16:creationId xmlns:a16="http://schemas.microsoft.com/office/drawing/2014/main" id="{888A0B57-6F03-5287-7FFE-58C504CA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275" y="511888"/>
          <a:ext cx="800200" cy="80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PrintsWithSheet="0"/>
  </xdr:twoCellAnchor>
  <xdr:twoCellAnchor editAs="oneCell">
    <xdr:from>
      <xdr:col>6</xdr:col>
      <xdr:colOff>2741003</xdr:colOff>
      <xdr:row>0</xdr:row>
      <xdr:rowOff>659421</xdr:rowOff>
    </xdr:from>
    <xdr:to>
      <xdr:col>6</xdr:col>
      <xdr:colOff>3820759</xdr:colOff>
      <xdr:row>1</xdr:row>
      <xdr:rowOff>68639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AEB317-DE77-24C1-FF04-D753280D8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6003" y="659421"/>
          <a:ext cx="1079756" cy="1076093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2428876</xdr:colOff>
      <xdr:row>0</xdr:row>
      <xdr:rowOff>75466</xdr:rowOff>
    </xdr:from>
    <xdr:to>
      <xdr:col>6</xdr:col>
      <xdr:colOff>6200776</xdr:colOff>
      <xdr:row>0</xdr:row>
      <xdr:rowOff>698649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F97224E-873F-2478-2E79-745720059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6" y="75466"/>
          <a:ext cx="3771900" cy="623183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4248151</xdr:colOff>
      <xdr:row>0</xdr:row>
      <xdr:rowOff>650630</xdr:rowOff>
    </xdr:from>
    <xdr:to>
      <xdr:col>7</xdr:col>
      <xdr:colOff>65732</xdr:colOff>
      <xdr:row>1</xdr:row>
      <xdr:rowOff>44694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991E1127-8246-AB0F-6B91-DAD0E74F7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1" y="650630"/>
          <a:ext cx="2027881" cy="1060939"/>
        </a:xfrm>
        <a:prstGeom prst="rect">
          <a:avLst/>
        </a:prstGeom>
      </xdr:spPr>
    </xdr:pic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mmerer, Artur (LWG)" id="{22BA440A-1DEB-4B5A-87EA-978C8B89E85E}" userId="Kammerer, Artur (LWG)" providerId="Non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merer, Artur (LWG)" refreshedDate="46098.336888194448" createdVersion="8" refreshedVersion="8" minRefreshableVersion="3" recordCount="332" xr:uid="{509DDC8C-6DF1-4292-B9A1-3E4BE12AA7AE}">
  <cacheSource type="worksheet">
    <worksheetSource ref="A1:W333" sheet="calc_pos"/>
  </cacheSource>
  <cacheFields count="23">
    <cacheField name="Kalkulation_x000a_position_x000a_#" numFmtId="0">
      <sharedItems containsSemiMixedTypes="0" containsString="0" containsNumber="1" containsInteger="1" minValue="1" maxValue="332"/>
    </cacheField>
    <cacheField name="Funktion" numFmtId="0">
      <sharedItems/>
    </cacheField>
    <cacheField name="Imkerlicher Prozess" numFmtId="0">
      <sharedItems count="9">
        <s v="Völkerführung"/>
        <s v="Bienengesundheit /-hygiene"/>
        <s v="Wachswirtschaft"/>
        <s v="Honiggewinnung (Wabe bis Eimer)"/>
        <s v="Honigverarbeitung (Eimer bis Glas)"/>
        <s v="Betriebs-/Personal- /Prozesshygiene"/>
        <s v="Gemeinkosten"/>
        <s v="Vertrieb und Vermarktung"/>
        <s v="Unternehmenswagnis"/>
      </sharedItems>
    </cacheField>
    <cacheField name="Vertrieb__x000a_Direkt" numFmtId="0">
      <sharedItems containsBlank="1" count="2">
        <s v="x"/>
        <m/>
      </sharedItems>
    </cacheField>
    <cacheField name="Vertrieb__x000a_Wiederverkäufer" numFmtId="0">
      <sharedItems containsBlank="1" count="2">
        <s v="x"/>
        <m/>
      </sharedItems>
    </cacheField>
    <cacheField name="Vertrieb__x000a_Grosshandel" numFmtId="0">
      <sharedItems containsBlank="1" count="2">
        <s v="x"/>
        <m/>
      </sharedItems>
    </cacheField>
    <cacheField name="Kostentyp" numFmtId="0">
      <sharedItems count="2">
        <s v="pagatorisch"/>
        <s v="kalkulatorisch"/>
      </sharedItems>
    </cacheField>
    <cacheField name="Kostenart" numFmtId="0">
      <sharedItems count="14">
        <s v="Material"/>
        <s v="Abschreibung"/>
        <s v="Arbeit"/>
        <s v="KFZ"/>
        <s v="Sozialversicherung"/>
        <s v="Raumkosten"/>
        <s v="Kapital"/>
        <s v="Beiträge_Gebühren"/>
        <s v="Fremdleistungen"/>
        <s v="Versicherung"/>
        <s v="Fortbildung"/>
        <s v="Telekommunikation"/>
        <s v="Pauschalkosten Vertrieb"/>
        <s v="Unternehmenswagnis"/>
      </sharedItems>
    </cacheField>
    <cacheField name="Position" numFmtId="0">
      <sharedItems containsBlank="1"/>
    </cacheField>
    <cacheField name="Datenquelle" numFmtId="0">
      <sharedItems containsBlank="1"/>
    </cacheField>
    <cacheField name="Betriebstyp" numFmtId="0">
      <sharedItems count="4">
        <s v="1 bis 25"/>
        <s v="26 bis 70"/>
        <s v="71 bis 149"/>
        <s v="150 und mehr"/>
      </sharedItems>
    </cacheField>
    <cacheField name="Gültigkeit_x000a_Betriebgröße_x000a_WV (Wirtschaftsvolk)" numFmtId="0">
      <sharedItems containsSemiMixedTypes="0" containsString="0" containsNumber="1" containsInteger="1" minValue="6" maxValue="150"/>
    </cacheField>
    <cacheField name="Bezugsgrösse_x000a_WV (Wirtschaftsvolk)_x000a_Betrieb_x000a_VE (Verpackungseinheit)" numFmtId="0">
      <sharedItems containsBlank="1"/>
    </cacheField>
    <cacheField name="Bezugszeitraum_x000a_Monat_x000a_Jahre (=Nutzungsdauer)" numFmtId="0">
      <sharedItems containsString="0" containsBlank="1" containsNumber="1" containsInteger="1" minValue="1" maxValue="15"/>
    </cacheField>
    <cacheField name="Verbrauchsmenge (Anzahl / Bezugszeitraum)" numFmtId="0">
      <sharedItems containsString="0" containsBlank="1" containsNumber="1" minValue="0" maxValue="27807.735294117647"/>
    </cacheField>
    <cacheField name="Arbeitszeit_x000a_(Akmin)" numFmtId="0">
      <sharedItems containsString="0" containsBlank="1" containsNumber="1" minValue="0.5" maxValue="180"/>
    </cacheField>
    <cacheField name="Stückkosten_x000a_EUR/kg, EUR/Stück" numFmtId="0">
      <sharedItems containsString="0" containsBlank="1" containsNumber="1" minValue="0" maxValue="4399"/>
    </cacheField>
    <cacheField name="Invest_x000a_EUR/Betrieb" numFmtId="0">
      <sharedItems containsString="0" containsBlank="1" containsNumber="1" minValue="0" maxValue="43676.470588235294"/>
    </cacheField>
    <cacheField name="Summe_x000a_Kosten_x000a_EUR/Jahr_x000a_Betrieb" numFmtId="4">
      <sharedItems containsString="0" containsBlank="1" containsNumber="1" minValue="0" maxValue="10500"/>
    </cacheField>
    <cacheField name="Summe_x000a_Kosten_x000a_EUR/Jahr_x000a_Wirtschaftsvolk" numFmtId="4">
      <sharedItems containsSemiMixedTypes="0" containsString="0" containsNumber="1" minValue="0" maxValue="70.123943661971836"/>
    </cacheField>
    <cacheField name="Summe_x000a_Kosten_x000a_EUR/Jahr_x000a_kg Honig" numFmtId="4">
      <sharedItems containsString="0" containsBlank="1" containsNumber="1" minValue="0" maxValue="2.0035412474849097"/>
    </cacheField>
    <cacheField name="Summe_x000a_Kosten_x000a_EUR/Jahr_x000a_Standardgebinde" numFmtId="4">
      <sharedItems containsString="0" containsBlank="1" containsNumber="1" minValue="0" maxValue="1.0017706237424548"/>
    </cacheField>
    <cacheField name="Summe_x000a_Invest EUR/WV" numFmtId="4">
      <sharedItems containsSemiMixedTypes="0" containsString="0" containsNumber="1" minValue="0" maxValue="323.529411764705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merer, Artur (LWG)" refreshedDate="46098.336888888887" createdVersion="8" refreshedVersion="8" minRefreshableVersion="3" recordCount="332" xr:uid="{83B0F8BA-4B93-4047-BDF6-66DAB8862DE2}">
  <cacheSource type="worksheet">
    <worksheetSource ref="A1:Z333" sheet="calc_pos"/>
  </cacheSource>
  <cacheFields count="26">
    <cacheField name="Kalkulation_x000a_position_x000a_#" numFmtId="0">
      <sharedItems containsSemiMixedTypes="0" containsString="0" containsNumber="1" containsInteger="1" minValue="1" maxValue="332"/>
    </cacheField>
    <cacheField name="Funktion" numFmtId="0">
      <sharedItems/>
    </cacheField>
    <cacheField name="Imkerlicher Prozess" numFmtId="0">
      <sharedItems count="9">
        <s v="Völkerführung"/>
        <s v="Bienengesundheit /-hygiene"/>
        <s v="Wachswirtschaft"/>
        <s v="Honiggewinnung (Wabe bis Eimer)"/>
        <s v="Honigverarbeitung (Eimer bis Glas)"/>
        <s v="Betriebs-/Personal- /Prozesshygiene"/>
        <s v="Gemeinkosten"/>
        <s v="Vertrieb und Vermarktung"/>
        <s v="Unternehmenswagnis"/>
      </sharedItems>
    </cacheField>
    <cacheField name="Vertrieb__x000a_Direkt" numFmtId="0">
      <sharedItems containsBlank="1" count="2">
        <s v="x"/>
        <m/>
      </sharedItems>
    </cacheField>
    <cacheField name="Vertrieb__x000a_Wiederverkäufer" numFmtId="0">
      <sharedItems containsBlank="1"/>
    </cacheField>
    <cacheField name="Vertrieb__x000a_Grosshandel" numFmtId="0">
      <sharedItems containsBlank="1"/>
    </cacheField>
    <cacheField name="Kostentyp" numFmtId="0">
      <sharedItems/>
    </cacheField>
    <cacheField name="Kostenart" numFmtId="0">
      <sharedItems/>
    </cacheField>
    <cacheField name="Position" numFmtId="0">
      <sharedItems containsBlank="1"/>
    </cacheField>
    <cacheField name="Datenquelle" numFmtId="0">
      <sharedItems containsBlank="1"/>
    </cacheField>
    <cacheField name="Betriebstyp" numFmtId="0">
      <sharedItems count="4">
        <s v="1 bis 25"/>
        <s v="26 bis 70"/>
        <s v="71 bis 149"/>
        <s v="150 und mehr"/>
      </sharedItems>
    </cacheField>
    <cacheField name="Gültigkeit_x000a_Betriebgröße_x000a_WV (Wirtschaftsvolk)" numFmtId="0">
      <sharedItems containsSemiMixedTypes="0" containsString="0" containsNumber="1" containsInteger="1" minValue="6" maxValue="150"/>
    </cacheField>
    <cacheField name="Bezugsgrösse_x000a_WV (Wirtschaftsvolk)_x000a_Betrieb_x000a_VE (Verpackungseinheit)" numFmtId="0">
      <sharedItems containsBlank="1"/>
    </cacheField>
    <cacheField name="Bezugszeitraum_x000a_Monat_x000a_Jahre (=Nutzungsdauer)" numFmtId="0">
      <sharedItems containsString="0" containsBlank="1" containsNumber="1" containsInteger="1" minValue="1" maxValue="15"/>
    </cacheField>
    <cacheField name="Verbrauchsmenge (Anzahl / Bezugszeitraum)" numFmtId="0">
      <sharedItems containsString="0" containsBlank="1" containsNumber="1" minValue="0" maxValue="27807.735294117647"/>
    </cacheField>
    <cacheField name="Arbeitszeit_x000a_(Akmin)" numFmtId="0">
      <sharedItems containsString="0" containsBlank="1" containsNumber="1" minValue="0.5" maxValue="180"/>
    </cacheField>
    <cacheField name="Stückkosten_x000a_EUR/kg, EUR/Stück" numFmtId="0">
      <sharedItems containsString="0" containsBlank="1" containsNumber="1" minValue="0" maxValue="4399"/>
    </cacheField>
    <cacheField name="Invest_x000a_EUR/Betrieb" numFmtId="0">
      <sharedItems containsString="0" containsBlank="1" containsNumber="1" minValue="0" maxValue="43676.470588235294"/>
    </cacheField>
    <cacheField name="Summe_x000a_Kosten_x000a_EUR/Jahr_x000a_Betrieb" numFmtId="4">
      <sharedItems containsString="0" containsBlank="1" containsNumber="1" minValue="0" maxValue="10500"/>
    </cacheField>
    <cacheField name="Summe_x000a_Kosten_x000a_EUR/Jahr_x000a_Wirtschaftsvolk" numFmtId="4">
      <sharedItems containsSemiMixedTypes="0" containsString="0" containsNumber="1" minValue="0" maxValue="70.123943661971836"/>
    </cacheField>
    <cacheField name="Summe_x000a_Kosten_x000a_EUR/Jahr_x000a_kg Honig" numFmtId="4">
      <sharedItems containsString="0" containsBlank="1" containsNumber="1" minValue="0" maxValue="2.0035412474849097"/>
    </cacheField>
    <cacheField name="Summe_x000a_Kosten_x000a_EUR/Jahr_x000a_Standardgebinde" numFmtId="4">
      <sharedItems containsString="0" containsBlank="1" containsNumber="1" minValue="0" maxValue="1.0017706237424548"/>
    </cacheField>
    <cacheField name="Summe_x000a_Invest EUR/WV" numFmtId="4">
      <sharedItems containsSemiMixedTypes="0" containsString="0" containsNumber="1" minValue="0" maxValue="323.52941176470591"/>
    </cacheField>
    <cacheField name="Summe_x000a_AKh/Jahr_x000a_WV" numFmtId="4">
      <sharedItems containsMixedTypes="1" containsNumber="1" minValue="5.333333333333334E-3" maxValue="2.3333333333333335"/>
    </cacheField>
    <cacheField name="Summe_x000a_kWh/Jahr_x000a_kg Honig" numFmtId="4">
      <sharedItems containsMixedTypes="1" containsNumber="1" minValue="2.8571428571428571E-2" maxValue="0.20000000000000004"/>
    </cacheField>
    <cacheField name="Summe_x000a_km/Jahr_x000a_kg Honig" numFmtId="4">
      <sharedItems containsMixedTypes="1" containsNumber="1" minValue="9.1428571428571418E-3" maxValue="9.5238095238095247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2">
  <r>
    <n v="1"/>
    <s v="Herstellung"/>
    <x v="0"/>
    <x v="0"/>
    <x v="0"/>
    <x v="0"/>
    <x v="0"/>
    <x v="0"/>
    <s v="Jungkönigin für Wirtschaftsvölker"/>
    <m/>
    <x v="0"/>
    <n v="6"/>
    <s v="WV"/>
    <n v="2"/>
    <m/>
    <m/>
    <n v="30"/>
    <m/>
    <n v="90"/>
    <n v="15"/>
    <n v="0.42857142857142855"/>
    <n v="0.21428571428571427"/>
    <n v="0"/>
  </r>
  <r>
    <n v="2"/>
    <s v="Herstellung"/>
    <x v="0"/>
    <x v="0"/>
    <x v="0"/>
    <x v="0"/>
    <x v="1"/>
    <x v="1"/>
    <s v="Beutensysteme komplett inkl. Rähmchen, Beutenbock"/>
    <s v="z.B. Angebot Fa. Graze Beuten-Komplettsystem inkl. Rähmchen Fütterer Fluchten Böcke 200 EUR + 3kg x 25 EUR für Erstausstattung Mittelwände"/>
    <x v="0"/>
    <n v="6"/>
    <s v="WV"/>
    <n v="15"/>
    <m/>
    <m/>
    <n v="275"/>
    <n v="1941.1764705882354"/>
    <n v="129.41176470588235"/>
    <n v="21.56862745098039"/>
    <n v="0.6162464985994397"/>
    <n v="0.30812324929971985"/>
    <n v="323.52941176470591"/>
  </r>
  <r>
    <n v="3"/>
    <s v="Herstellung"/>
    <x v="0"/>
    <x v="0"/>
    <x v="0"/>
    <x v="0"/>
    <x v="1"/>
    <x v="1"/>
    <s v="Stockwaage"/>
    <m/>
    <x v="0"/>
    <n v="6"/>
    <s v="Betrieb"/>
    <n v="10"/>
    <n v="0"/>
    <m/>
    <n v="800"/>
    <n v="0"/>
    <n v="0"/>
    <n v="0"/>
    <n v="0"/>
    <n v="0"/>
    <n v="0"/>
  </r>
  <r>
    <n v="4"/>
    <s v="Herstellung"/>
    <x v="0"/>
    <x v="0"/>
    <x v="0"/>
    <x v="0"/>
    <x v="1"/>
    <x v="1"/>
    <s v="Hebetechnik"/>
    <m/>
    <x v="0"/>
    <n v="6"/>
    <s v="Betrieb"/>
    <n v="11"/>
    <n v="0"/>
    <m/>
    <n v="0"/>
    <n v="0"/>
    <n v="0"/>
    <n v="0"/>
    <n v="0"/>
    <n v="0"/>
    <n v="0"/>
  </r>
  <r>
    <n v="5"/>
    <s v="Herstellung"/>
    <x v="0"/>
    <x v="0"/>
    <x v="0"/>
    <x v="0"/>
    <x v="1"/>
    <x v="1"/>
    <s v="Ablegerbeutensysteme Remontierung = Verlustrate / 75% erfolgsquote Abelgerbildung"/>
    <m/>
    <x v="0"/>
    <n v="6"/>
    <s v="WV"/>
    <n v="15"/>
    <n v="0.4"/>
    <m/>
    <n v="110"/>
    <n v="264"/>
    <n v="17.600000000000001"/>
    <n v="2.9333333333333336"/>
    <n v="8.380952380952382E-2"/>
    <n v="4.190476190476191E-2"/>
    <n v="44"/>
  </r>
  <r>
    <n v="6"/>
    <s v="Herstellung"/>
    <x v="0"/>
    <x v="0"/>
    <x v="0"/>
    <x v="0"/>
    <x v="0"/>
    <x v="0"/>
    <s v="Rähmchen Ableger"/>
    <s v="Honigerzeugergemeinschaft Süddeutschland w.V. / HEG Imker Shop GmbH  "/>
    <x v="0"/>
    <n v="6"/>
    <s v="WV"/>
    <n v="1"/>
    <n v="0.8"/>
    <m/>
    <n v="1.3"/>
    <m/>
    <n v="6.24"/>
    <n v="1.04"/>
    <n v="2.9714285714285714E-2"/>
    <n v="1.4857142857142857E-2"/>
    <n v="0"/>
  </r>
  <r>
    <n v="7"/>
    <s v="Herstellung"/>
    <x v="0"/>
    <x v="0"/>
    <x v="0"/>
    <x v="0"/>
    <x v="0"/>
    <x v="0"/>
    <s v="Jungkönigin für Ableger"/>
    <m/>
    <x v="0"/>
    <n v="6"/>
    <s v="WV"/>
    <n v="1"/>
    <n v="0.4"/>
    <m/>
    <n v="30"/>
    <m/>
    <n v="72"/>
    <n v="12"/>
    <n v="0.34285714285714286"/>
    <n v="0.17142857142857143"/>
    <n v="0"/>
  </r>
  <r>
    <n v="8"/>
    <s v="Herstellung"/>
    <x v="0"/>
    <x v="0"/>
    <x v="0"/>
    <x v="0"/>
    <x v="0"/>
    <x v="0"/>
    <s v="Futtermittel für Ableger"/>
    <m/>
    <x v="0"/>
    <n v="6"/>
    <s v="WV"/>
    <m/>
    <n v="4"/>
    <m/>
    <n v="1.8"/>
    <m/>
    <n v="43.2"/>
    <n v="7.2"/>
    <n v="0.20571428571428571"/>
    <n v="0.10285714285714286"/>
    <n v="0"/>
  </r>
  <r>
    <n v="9"/>
    <s v="Herstellung"/>
    <x v="0"/>
    <x v="0"/>
    <x v="0"/>
    <x v="0"/>
    <x v="1"/>
    <x v="2"/>
    <s v="Eingriffe / Volk und Jahr Ableger"/>
    <m/>
    <x v="0"/>
    <n v="6"/>
    <s v="WV"/>
    <m/>
    <n v="2"/>
    <n v="5"/>
    <n v="14"/>
    <m/>
    <n v="13.999999999999998"/>
    <n v="2.333333333333333"/>
    <n v="6.6666666666666652E-2"/>
    <n v="3.3333333333333326E-2"/>
    <n v="0"/>
  </r>
  <r>
    <n v="10"/>
    <s v="Herstellung"/>
    <x v="0"/>
    <x v="0"/>
    <x v="0"/>
    <x v="0"/>
    <x v="0"/>
    <x v="0"/>
    <s v="Rähmchenersatz"/>
    <s v="Honigerzeugergemeinschaft Süddeutschland w.V. / HEG Imker Shop GmbH  "/>
    <x v="0"/>
    <n v="6"/>
    <s v="WV"/>
    <m/>
    <n v="2"/>
    <m/>
    <n v="1.3"/>
    <m/>
    <n v="18.352941176470591"/>
    <n v="3.0588235294117649"/>
    <n v="8.7394957983193286E-2"/>
    <n v="4.3697478991596643E-2"/>
    <n v="0"/>
  </r>
  <r>
    <n v="11"/>
    <s v="Herstellung"/>
    <x v="0"/>
    <x v="0"/>
    <x v="0"/>
    <x v="0"/>
    <x v="0"/>
    <x v="0"/>
    <s v="Werkzeuge (Smoker, Stockmeisel, Sprühflasche, Besen, Zurrgurt…...)"/>
    <m/>
    <x v="0"/>
    <n v="6"/>
    <s v="Betrieb"/>
    <n v="10"/>
    <m/>
    <m/>
    <n v="120"/>
    <m/>
    <n v="12"/>
    <n v="2"/>
    <n v="5.7142857142857141E-2"/>
    <n v="2.8571428571428571E-2"/>
    <n v="0"/>
  </r>
  <r>
    <n v="12"/>
    <s v="Herstellung"/>
    <x v="0"/>
    <x v="0"/>
    <x v="0"/>
    <x v="0"/>
    <x v="0"/>
    <x v="0"/>
    <s v="Schutzkleidung"/>
    <m/>
    <x v="0"/>
    <n v="6"/>
    <s v="Betrieb"/>
    <n v="5"/>
    <m/>
    <m/>
    <n v="100"/>
    <m/>
    <n v="20"/>
    <n v="3.3333333333333335"/>
    <n v="9.5238095238095247E-2"/>
    <n v="4.7619047619047623E-2"/>
    <n v="0"/>
  </r>
  <r>
    <n v="13"/>
    <s v="Herstellung"/>
    <x v="0"/>
    <x v="0"/>
    <x v="0"/>
    <x v="0"/>
    <x v="0"/>
    <x v="0"/>
    <s v="Futtermittel"/>
    <s v="Interne Statistik Futtermittel LWG/IBI bezogen auf kg Trockenmasse"/>
    <x v="0"/>
    <n v="6"/>
    <s v="WV"/>
    <m/>
    <n v="15"/>
    <m/>
    <n v="1.8"/>
    <m/>
    <n v="190.58823529411765"/>
    <n v="31.764705882352942"/>
    <n v="0.90756302521008403"/>
    <n v="0.45378151260504201"/>
    <n v="0"/>
  </r>
  <r>
    <n v="14"/>
    <s v="Herstellung"/>
    <x v="0"/>
    <x v="0"/>
    <x v="0"/>
    <x v="0"/>
    <x v="1"/>
    <x v="3"/>
    <s v="KFZ-Kosten"/>
    <s v="LWG IBI KFZ Kostenrechner nur PKW; 20 Völker /Stand"/>
    <x v="0"/>
    <n v="6"/>
    <s v="Betrieb"/>
    <m/>
    <n v="10"/>
    <m/>
    <n v="0.35"/>
    <m/>
    <n v="7"/>
    <n v="1.1666666666666667"/>
    <n v="3.3333333333333333E-2"/>
    <n v="1.6666666666666666E-2"/>
    <n v="0"/>
  </r>
  <r>
    <n v="15"/>
    <s v="Herstellung"/>
    <x v="0"/>
    <x v="0"/>
    <x v="0"/>
    <x v="0"/>
    <x v="1"/>
    <x v="2"/>
    <s v="Eingriffe / Volk und Jahr"/>
    <m/>
    <x v="0"/>
    <n v="6"/>
    <s v="WV"/>
    <m/>
    <n v="10"/>
    <n v="10"/>
    <n v="14"/>
    <m/>
    <n v="164.70588235294119"/>
    <n v="27.450980392156865"/>
    <n v="0.78431372549019618"/>
    <n v="0.39215686274509809"/>
    <n v="0"/>
  </r>
  <r>
    <n v="16"/>
    <s v="Herstellung"/>
    <x v="0"/>
    <x v="0"/>
    <x v="0"/>
    <x v="0"/>
    <x v="1"/>
    <x v="2"/>
    <s v="Rüstzeit"/>
    <m/>
    <x v="0"/>
    <n v="6"/>
    <s v="Betrieb"/>
    <m/>
    <n v="10"/>
    <n v="15"/>
    <n v="14"/>
    <m/>
    <n v="35"/>
    <n v="5.833333333333333"/>
    <n v="0.16666666666666666"/>
    <n v="8.3333333333333329E-2"/>
    <n v="0"/>
  </r>
  <r>
    <n v="17"/>
    <s v="Herstellung"/>
    <x v="0"/>
    <x v="0"/>
    <x v="0"/>
    <x v="0"/>
    <x v="1"/>
    <x v="2"/>
    <s v="Fahrtzeit"/>
    <m/>
    <x v="0"/>
    <n v="6"/>
    <s v="Betrieb"/>
    <m/>
    <n v="10"/>
    <n v="2"/>
    <n v="14"/>
    <m/>
    <n v="4.6666666666666661"/>
    <n v="0.77777777777777768"/>
    <n v="2.222222222222222E-2"/>
    <n v="1.111111111111111E-2"/>
    <n v="0"/>
  </r>
  <r>
    <n v="18"/>
    <s v="Herstellung"/>
    <x v="0"/>
    <x v="0"/>
    <x v="0"/>
    <x v="0"/>
    <x v="1"/>
    <x v="4"/>
    <s v="Sozialversicherung"/>
    <s v="https://www.destatis.de/DE/Themen/Arbeit/Arbeitskosten-Lohnnebenkosten/Tabellen/lohnkosten-deutschland.html"/>
    <x v="0"/>
    <n v="6"/>
    <s v="Betrieb"/>
    <m/>
    <m/>
    <m/>
    <n v="0.28999999999999998"/>
    <m/>
    <n v="63.328039215686267"/>
    <n v="10.554673202614378"/>
    <n v="0.30156209150326796"/>
    <n v="0.15078104575163398"/>
    <n v="0"/>
  </r>
  <r>
    <n v="19"/>
    <s v="Herstellung"/>
    <x v="0"/>
    <x v="0"/>
    <x v="0"/>
    <x v="0"/>
    <x v="1"/>
    <x v="5"/>
    <s v="Raumkosten"/>
    <s v="https://www.iwkoeln.de/fileadmin/user_upload/Studien/Gutachten/PDF/2023/IWIP_Gutachten_Industrieimmobilien.pdf"/>
    <x v="0"/>
    <n v="6"/>
    <s v="Betrieb"/>
    <n v="1"/>
    <n v="6"/>
    <m/>
    <n v="4.6100000000000003"/>
    <m/>
    <n v="331.92000000000007"/>
    <n v="55.320000000000014"/>
    <n v="1.580571428571429"/>
    <n v="0.79028571428571448"/>
    <n v="0"/>
  </r>
  <r>
    <n v="20"/>
    <s v="Herstellung"/>
    <x v="0"/>
    <x v="0"/>
    <x v="0"/>
    <x v="0"/>
    <x v="1"/>
    <x v="5"/>
    <s v="Raumnebenkosten (Strom, Wasser, Heizung)"/>
    <s v="https://www.iwkoeln.de/fileadmin/user_upload/Studien/Gutachten/PDF/2023/IWIP_Gutachten_Industrieimmobilien.pdf"/>
    <x v="0"/>
    <n v="6"/>
    <s v="Betrieb"/>
    <n v="1"/>
    <n v="6"/>
    <m/>
    <n v="9.2200000000000004E-2"/>
    <m/>
    <n v="6.6384000000000007"/>
    <n v="1.1064000000000001"/>
    <n v="3.1611428571428575E-2"/>
    <n v="1.5805714285714288E-2"/>
    <n v="0"/>
  </r>
  <r>
    <n v="21"/>
    <s v="Herstellung"/>
    <x v="0"/>
    <x v="0"/>
    <x v="0"/>
    <x v="0"/>
    <x v="1"/>
    <x v="6"/>
    <s v="Kapital und Wagnis"/>
    <s v="LfL"/>
    <x v="0"/>
    <n v="6"/>
    <s v="Betrieb"/>
    <m/>
    <n v="1102.5882352941176"/>
    <m/>
    <n v="0.03"/>
    <m/>
    <n v="33.077647058823523"/>
    <n v="5.5129411764705871"/>
    <n v="0.15751260504201678"/>
    <n v="7.8756302521008389E-2"/>
    <n v="0"/>
  </r>
  <r>
    <n v="22"/>
    <s v="Herstellung"/>
    <x v="0"/>
    <x v="0"/>
    <x v="0"/>
    <x v="0"/>
    <x v="0"/>
    <x v="0"/>
    <s v="Jungkönigin"/>
    <m/>
    <x v="1"/>
    <n v="26"/>
    <s v="WV"/>
    <n v="2"/>
    <m/>
    <m/>
    <n v="28.799999999999997"/>
    <m/>
    <n v="374.4"/>
    <n v="14.399999999999999"/>
    <n v="0.41142857142857137"/>
    <n v="0.20571428571428568"/>
    <n v="0"/>
  </r>
  <r>
    <n v="23"/>
    <s v="Herstellung"/>
    <x v="0"/>
    <x v="0"/>
    <x v="0"/>
    <x v="0"/>
    <x v="1"/>
    <x v="1"/>
    <s v="Beutensysteme komplett inkl. Rähmchen, Beutenbock inkl. Mengendegression"/>
    <m/>
    <x v="1"/>
    <n v="26"/>
    <s v="WV"/>
    <n v="15"/>
    <m/>
    <m/>
    <n v="264"/>
    <n v="8075.2941176470595"/>
    <n v="538.35294117647061"/>
    <n v="20.705882352941178"/>
    <n v="0.59159663865546219"/>
    <n v="0.2957983193277311"/>
    <n v="310.58823529411768"/>
  </r>
  <r>
    <n v="24"/>
    <s v="Herstellung"/>
    <x v="0"/>
    <x v="0"/>
    <x v="0"/>
    <x v="0"/>
    <x v="1"/>
    <x v="1"/>
    <s v="Stockwaage"/>
    <m/>
    <x v="1"/>
    <n v="26"/>
    <s v="Betrieb"/>
    <n v="10"/>
    <n v="0"/>
    <m/>
    <n v="800"/>
    <n v="0"/>
    <n v="0"/>
    <n v="0"/>
    <n v="0"/>
    <n v="0"/>
    <n v="0"/>
  </r>
  <r>
    <n v="25"/>
    <s v="Herstellung"/>
    <x v="0"/>
    <x v="0"/>
    <x v="0"/>
    <x v="0"/>
    <x v="1"/>
    <x v="1"/>
    <s v="Hebetechnik"/>
    <m/>
    <x v="1"/>
    <n v="26"/>
    <s v="Betrieb"/>
    <n v="11"/>
    <n v="1"/>
    <m/>
    <n v="200"/>
    <n v="200"/>
    <n v="18.181818181818183"/>
    <n v="0.69930069930069938"/>
    <n v="1.9980019980019983E-2"/>
    <n v="9.9900099900099917E-3"/>
    <n v="7.6923076923076925"/>
  </r>
  <r>
    <n v="26"/>
    <s v="Herstellung"/>
    <x v="0"/>
    <x v="0"/>
    <x v="0"/>
    <x v="0"/>
    <x v="1"/>
    <x v="1"/>
    <s v="Ablegerbeutensysteme Remontierung = Verlustrate / 75% erfolgsquote Abelgerbildung"/>
    <m/>
    <x v="1"/>
    <n v="26"/>
    <s v="WV"/>
    <n v="15"/>
    <n v="0.4"/>
    <m/>
    <n v="105.60000000000001"/>
    <n v="1098.2400000000002"/>
    <n v="73.216000000000022"/>
    <n v="2.8160000000000007"/>
    <n v="8.045714285714288E-2"/>
    <n v="4.022857142857144E-2"/>
    <n v="42.240000000000009"/>
  </r>
  <r>
    <n v="27"/>
    <s v="Herstellung"/>
    <x v="0"/>
    <x v="0"/>
    <x v="0"/>
    <x v="0"/>
    <x v="0"/>
    <x v="0"/>
    <s v="Rähmchen Ableger"/>
    <s v="Honigerzeugergemeinschaft Süddeutschland w.V. / HEG Imker Shop GmbH  "/>
    <x v="1"/>
    <n v="26"/>
    <s v="WV"/>
    <n v="1"/>
    <n v="0.8"/>
    <m/>
    <n v="1.3"/>
    <m/>
    <n v="27.04"/>
    <n v="1.04"/>
    <n v="2.9714285714285714E-2"/>
    <n v="1.4857142857142857E-2"/>
    <n v="0"/>
  </r>
  <r>
    <n v="28"/>
    <s v="Herstellung"/>
    <x v="0"/>
    <x v="0"/>
    <x v="0"/>
    <x v="0"/>
    <x v="0"/>
    <x v="0"/>
    <s v="Jungkönigin für Ableger"/>
    <m/>
    <x v="1"/>
    <n v="26"/>
    <s v="WV"/>
    <n v="1"/>
    <n v="0.4"/>
    <m/>
    <n v="28.799999999999997"/>
    <m/>
    <n v="299.52"/>
    <n v="11.52"/>
    <n v="0.32914285714285713"/>
    <n v="0.16457142857142856"/>
    <n v="0"/>
  </r>
  <r>
    <n v="29"/>
    <s v="Herstellung"/>
    <x v="0"/>
    <x v="0"/>
    <x v="0"/>
    <x v="0"/>
    <x v="0"/>
    <x v="0"/>
    <s v="Futtermittel für Ableger"/>
    <m/>
    <x v="1"/>
    <n v="26"/>
    <s v="WV"/>
    <m/>
    <n v="4"/>
    <m/>
    <n v="1.8"/>
    <m/>
    <n v="187.20000000000002"/>
    <n v="7.2000000000000011"/>
    <n v="0.20571428571428574"/>
    <n v="0.10285714285714287"/>
    <n v="0"/>
  </r>
  <r>
    <n v="30"/>
    <s v="Herstellung"/>
    <x v="0"/>
    <x v="0"/>
    <x v="0"/>
    <x v="0"/>
    <x v="1"/>
    <x v="2"/>
    <s v="Eingriffe / Volk und Jahr Ableger"/>
    <m/>
    <x v="1"/>
    <n v="26"/>
    <s v="WV"/>
    <m/>
    <n v="2"/>
    <n v="5"/>
    <n v="14"/>
    <m/>
    <n v="60.666666666666657"/>
    <n v="2.333333333333333"/>
    <n v="6.6666666666666652E-2"/>
    <n v="3.3333333333333326E-2"/>
    <n v="0"/>
  </r>
  <r>
    <n v="31"/>
    <s v="Herstellung"/>
    <x v="0"/>
    <x v="0"/>
    <x v="0"/>
    <x v="0"/>
    <x v="0"/>
    <x v="0"/>
    <s v="Rähmchenersatz"/>
    <s v="Honigerzeugergemeinschaft Süddeutschland w.V. / HEG Imker Shop GmbH  "/>
    <x v="1"/>
    <n v="26"/>
    <s v="WV"/>
    <m/>
    <n v="2"/>
    <m/>
    <n v="1.3"/>
    <m/>
    <n v="79.529411764705898"/>
    <n v="3.0588235294117654"/>
    <n v="8.73949579831933E-2"/>
    <n v="4.369747899159665E-2"/>
    <n v="0"/>
  </r>
  <r>
    <n v="32"/>
    <s v="Herstellung"/>
    <x v="0"/>
    <x v="0"/>
    <x v="0"/>
    <x v="0"/>
    <x v="0"/>
    <x v="0"/>
    <s v="Werkzeuge (Smoker, Stockmeisel, Sprühflasche, Besen, Zurrgurt…...)"/>
    <m/>
    <x v="1"/>
    <n v="26"/>
    <s v="Betrieb"/>
    <n v="10"/>
    <m/>
    <m/>
    <n v="200"/>
    <m/>
    <n v="20"/>
    <n v="0.76923076923076927"/>
    <n v="2.197802197802198E-2"/>
    <n v="1.098901098901099E-2"/>
    <n v="0"/>
  </r>
  <r>
    <n v="33"/>
    <s v="Herstellung"/>
    <x v="0"/>
    <x v="0"/>
    <x v="0"/>
    <x v="0"/>
    <x v="0"/>
    <x v="0"/>
    <s v="Schutzkleidung"/>
    <m/>
    <x v="1"/>
    <n v="26"/>
    <s v="Betrieb"/>
    <n v="5"/>
    <m/>
    <m/>
    <n v="100"/>
    <m/>
    <n v="20"/>
    <n v="0.76923076923076927"/>
    <n v="2.197802197802198E-2"/>
    <n v="1.098901098901099E-2"/>
    <n v="0"/>
  </r>
  <r>
    <n v="34"/>
    <s v="Herstellung"/>
    <x v="0"/>
    <x v="0"/>
    <x v="0"/>
    <x v="0"/>
    <x v="0"/>
    <x v="0"/>
    <s v="Futtermittel"/>
    <s v="Interne Statistik Futtermittel LWG/IBI bezogen auf kg Trockenmasse"/>
    <x v="1"/>
    <n v="26"/>
    <s v="WV"/>
    <m/>
    <n v="15"/>
    <m/>
    <n v="1.8"/>
    <m/>
    <n v="825.88235294117646"/>
    <n v="31.764705882352942"/>
    <n v="0.90756302521008403"/>
    <n v="0.45378151260504201"/>
    <n v="0"/>
  </r>
  <r>
    <n v="35"/>
    <s v="Herstellung"/>
    <x v="0"/>
    <x v="0"/>
    <x v="0"/>
    <x v="0"/>
    <x v="1"/>
    <x v="3"/>
    <s v="KFZ-Kosten"/>
    <s v="LWG IBI KFZ Kostenrechner nur PKW; 20 Völker /Stand"/>
    <x v="1"/>
    <n v="26"/>
    <s v="Betrieb"/>
    <m/>
    <n v="20"/>
    <m/>
    <n v="0.35"/>
    <m/>
    <n v="14"/>
    <n v="0.53846153846153844"/>
    <n v="1.5384615384615384E-2"/>
    <n v="7.6923076923076919E-3"/>
    <n v="0"/>
  </r>
  <r>
    <n v="36"/>
    <s v="Herstellung"/>
    <x v="0"/>
    <x v="0"/>
    <x v="0"/>
    <x v="0"/>
    <x v="1"/>
    <x v="2"/>
    <s v="Eingriffe / Volk und Jahr"/>
    <m/>
    <x v="1"/>
    <n v="26"/>
    <s v="WV"/>
    <m/>
    <n v="10"/>
    <n v="10"/>
    <n v="14"/>
    <m/>
    <n v="713.72549019607857"/>
    <n v="27.450980392156868"/>
    <n v="0.78431372549019629"/>
    <n v="0.39215686274509814"/>
    <n v="0"/>
  </r>
  <r>
    <n v="37"/>
    <s v="Herstellung"/>
    <x v="0"/>
    <x v="0"/>
    <x v="0"/>
    <x v="0"/>
    <x v="1"/>
    <x v="2"/>
    <s v="Rüstzeit"/>
    <m/>
    <x v="1"/>
    <n v="26"/>
    <s v="Betrieb"/>
    <m/>
    <n v="20"/>
    <n v="15"/>
    <n v="14"/>
    <m/>
    <n v="70"/>
    <n v="2.6923076923076925"/>
    <n v="7.6923076923076927E-2"/>
    <n v="3.8461538461538464E-2"/>
    <n v="0"/>
  </r>
  <r>
    <n v="38"/>
    <s v="Herstellung"/>
    <x v="0"/>
    <x v="0"/>
    <x v="0"/>
    <x v="0"/>
    <x v="1"/>
    <x v="2"/>
    <s v="Fahrtzeit"/>
    <m/>
    <x v="1"/>
    <n v="26"/>
    <s v="Betrieb"/>
    <m/>
    <n v="20"/>
    <n v="2"/>
    <n v="14"/>
    <m/>
    <n v="9.3333333333333321"/>
    <n v="0.35897435897435892"/>
    <n v="1.0256410256410255E-2"/>
    <n v="5.1282051282051273E-3"/>
    <n v="0"/>
  </r>
  <r>
    <n v="39"/>
    <s v="Herstellung"/>
    <x v="0"/>
    <x v="0"/>
    <x v="0"/>
    <x v="0"/>
    <x v="1"/>
    <x v="4"/>
    <s v="Sozialversicherung"/>
    <s v="https://www.destatis.de/DE/Themen/Arbeit/Arbeitskosten-Lohnnebenkosten/Tabellen/lohnkosten-deutschland.html"/>
    <x v="1"/>
    <n v="26"/>
    <s v="Betrieb"/>
    <m/>
    <m/>
    <m/>
    <n v="0.28999999999999998"/>
    <m/>
    <n v="247.58039215686276"/>
    <n v="9.5223227752639517"/>
    <n v="0.2720663650075415"/>
    <n v="0.13603318250377075"/>
    <n v="0"/>
  </r>
  <r>
    <n v="40"/>
    <s v="Herstellung"/>
    <x v="0"/>
    <x v="0"/>
    <x v="0"/>
    <x v="0"/>
    <x v="1"/>
    <x v="5"/>
    <s v="Raumkosten"/>
    <s v="https://www.iwkoeln.de/fileadmin/user_upload/Studien/Gutachten/PDF/2023/IWIP_Gutachten_Industrieimmobilien.pdf"/>
    <x v="1"/>
    <n v="26"/>
    <s v="Betrieb"/>
    <n v="1"/>
    <n v="25"/>
    <m/>
    <n v="4.6100000000000003"/>
    <m/>
    <n v="1383.0000000000002"/>
    <n v="53.192307692307701"/>
    <n v="1.5197802197802199"/>
    <n v="0.75989010989010997"/>
    <n v="0"/>
  </r>
  <r>
    <n v="41"/>
    <s v="Herstellung"/>
    <x v="0"/>
    <x v="0"/>
    <x v="0"/>
    <x v="0"/>
    <x v="1"/>
    <x v="5"/>
    <s v="Raumnebenkosten (Strom, Wasser, Heizung)"/>
    <s v="https://www.iwkoeln.de/fileadmin/user_upload/Studien/Gutachten/PDF/2023/IWIP_Gutachten_Industrieimmobilien.pdf"/>
    <x v="1"/>
    <n v="26"/>
    <s v="Betrieb"/>
    <n v="1"/>
    <n v="25"/>
    <m/>
    <n v="9.2200000000000004E-2"/>
    <m/>
    <n v="27.660000000000004"/>
    <n v="1.0638461538461539"/>
    <n v="3.0395604395604396E-2"/>
    <n v="1.5197802197802198E-2"/>
    <n v="0"/>
  </r>
  <r>
    <n v="42"/>
    <s v="Herstellung"/>
    <x v="0"/>
    <x v="0"/>
    <x v="0"/>
    <x v="0"/>
    <x v="1"/>
    <x v="6"/>
    <s v="Kapital und Wagnis"/>
    <s v="LfL"/>
    <x v="1"/>
    <n v="26"/>
    <s v="Betrieb"/>
    <m/>
    <n v="4686.7670588235296"/>
    <m/>
    <n v="0.03"/>
    <m/>
    <n v="140.60301176470588"/>
    <n v="5.4078081447963804"/>
    <n v="0.15450880413703943"/>
    <n v="7.7254402068519717E-2"/>
    <n v="0"/>
  </r>
  <r>
    <n v="43"/>
    <s v="Herstellung"/>
    <x v="0"/>
    <x v="0"/>
    <x v="0"/>
    <x v="0"/>
    <x v="0"/>
    <x v="0"/>
    <s v="Jungkönigin"/>
    <m/>
    <x v="2"/>
    <n v="71"/>
    <s v="WV"/>
    <n v="2"/>
    <m/>
    <m/>
    <n v="27.900000000000002"/>
    <m/>
    <n v="990.45"/>
    <n v="13.950000000000001"/>
    <n v="0.39857142857142858"/>
    <n v="0.19928571428571429"/>
    <n v="0"/>
  </r>
  <r>
    <n v="44"/>
    <s v="Herstellung"/>
    <x v="0"/>
    <x v="0"/>
    <x v="0"/>
    <x v="0"/>
    <x v="1"/>
    <x v="1"/>
    <s v="Beutensysteme komplett inkl. Rähmchen, Beutenbock inkl. Mengendegression"/>
    <m/>
    <x v="2"/>
    <n v="71"/>
    <s v="WV"/>
    <n v="15"/>
    <m/>
    <m/>
    <n v="255.75"/>
    <n v="21362.647058823532"/>
    <n v="1424.1764705882354"/>
    <n v="20.058823529411764"/>
    <n v="0.57310924369747895"/>
    <n v="0.28655462184873948"/>
    <n v="300.88235294117652"/>
  </r>
  <r>
    <n v="45"/>
    <s v="Herstellung"/>
    <x v="0"/>
    <x v="0"/>
    <x v="0"/>
    <x v="0"/>
    <x v="1"/>
    <x v="1"/>
    <s v="Stockwaage"/>
    <m/>
    <x v="2"/>
    <n v="71"/>
    <s v="Betrieb"/>
    <n v="10"/>
    <n v="1"/>
    <m/>
    <n v="800"/>
    <n v="800"/>
    <n v="80"/>
    <n v="1.1267605633802817"/>
    <n v="3.2193158953722337E-2"/>
    <n v="1.6096579476861168E-2"/>
    <n v="11.267605633802816"/>
  </r>
  <r>
    <n v="46"/>
    <s v="Herstellung"/>
    <x v="0"/>
    <x v="0"/>
    <x v="0"/>
    <x v="0"/>
    <x v="1"/>
    <x v="1"/>
    <s v="Hebetechnik"/>
    <m/>
    <x v="2"/>
    <n v="71"/>
    <s v="Betrieb"/>
    <n v="11"/>
    <n v="1"/>
    <m/>
    <n v="1600"/>
    <n v="1600"/>
    <n v="145.45454545454547"/>
    <n v="2.0486555697823303"/>
    <n v="5.8533016279495149E-2"/>
    <n v="2.9266508139747575E-2"/>
    <n v="22.535211267605632"/>
  </r>
  <r>
    <n v="47"/>
    <s v="Herstellung"/>
    <x v="0"/>
    <x v="0"/>
    <x v="0"/>
    <x v="0"/>
    <x v="1"/>
    <x v="1"/>
    <s v="Ablegerbeutensysteme Remontierung = Verlustrate / 75% erfolgsquote Abelgerbildung"/>
    <m/>
    <x v="2"/>
    <n v="71"/>
    <s v="WV"/>
    <n v="15"/>
    <n v="0.4"/>
    <m/>
    <n v="102.30000000000001"/>
    <n v="2905.3200000000006"/>
    <n v="193.68800000000005"/>
    <n v="2.7280000000000006"/>
    <n v="7.7942857142857161E-2"/>
    <n v="3.897142857142858E-2"/>
    <n v="40.920000000000009"/>
  </r>
  <r>
    <n v="48"/>
    <s v="Herstellung"/>
    <x v="0"/>
    <x v="0"/>
    <x v="0"/>
    <x v="0"/>
    <x v="0"/>
    <x v="0"/>
    <s v="Rähmchen Ableger"/>
    <s v="Honigerzeugergemeinschaft Süddeutschland w.V. / HEG Imker Shop GmbH  "/>
    <x v="2"/>
    <n v="71"/>
    <s v="WV"/>
    <n v="1"/>
    <n v="0.8"/>
    <m/>
    <n v="1.3"/>
    <m/>
    <n v="73.84"/>
    <n v="1.04"/>
    <n v="2.9714285714285714E-2"/>
    <n v="1.4857142857142857E-2"/>
    <n v="0"/>
  </r>
  <r>
    <n v="49"/>
    <s v="Herstellung"/>
    <x v="0"/>
    <x v="0"/>
    <x v="0"/>
    <x v="0"/>
    <x v="0"/>
    <x v="0"/>
    <s v="Jungkönigin für Ableger"/>
    <m/>
    <x v="2"/>
    <n v="71"/>
    <s v="WV"/>
    <n v="1"/>
    <n v="0.4"/>
    <m/>
    <n v="27.900000000000002"/>
    <m/>
    <n v="792.36000000000013"/>
    <n v="11.160000000000002"/>
    <n v="0.31885714285714289"/>
    <n v="0.15942857142857145"/>
    <n v="0"/>
  </r>
  <r>
    <n v="50"/>
    <s v="Herstellung"/>
    <x v="0"/>
    <x v="0"/>
    <x v="0"/>
    <x v="0"/>
    <x v="0"/>
    <x v="0"/>
    <s v="Futtermittel für Ableger"/>
    <m/>
    <x v="2"/>
    <n v="71"/>
    <s v="WV"/>
    <m/>
    <n v="4"/>
    <m/>
    <n v="1.8"/>
    <m/>
    <n v="511.2"/>
    <n v="7.2"/>
    <n v="0.20571428571428571"/>
    <n v="0.10285714285714286"/>
    <n v="0"/>
  </r>
  <r>
    <n v="51"/>
    <s v="Herstellung"/>
    <x v="0"/>
    <x v="0"/>
    <x v="0"/>
    <x v="0"/>
    <x v="1"/>
    <x v="2"/>
    <s v="Eingriffe / Volk und Jahr Ableger"/>
    <m/>
    <x v="2"/>
    <n v="71"/>
    <s v="WV"/>
    <m/>
    <n v="2"/>
    <n v="5"/>
    <n v="14"/>
    <m/>
    <n v="165.66666666666666"/>
    <n v="2.333333333333333"/>
    <n v="6.6666666666666652E-2"/>
    <n v="3.3333333333333326E-2"/>
    <n v="0"/>
  </r>
  <r>
    <n v="52"/>
    <s v="Herstellung"/>
    <x v="0"/>
    <x v="0"/>
    <x v="0"/>
    <x v="0"/>
    <x v="0"/>
    <x v="0"/>
    <s v="Rähmchenersatz"/>
    <s v="Honigerzeugergemeinschaft Süddeutschland w.V. / HEG Imker Shop GmbH  "/>
    <x v="2"/>
    <n v="71"/>
    <s v="WV"/>
    <m/>
    <n v="2"/>
    <m/>
    <n v="1.3"/>
    <m/>
    <n v="217.1764705882353"/>
    <n v="3.0588235294117649"/>
    <n v="8.7394957983193286E-2"/>
    <n v="4.3697478991596643E-2"/>
    <n v="0"/>
  </r>
  <r>
    <n v="53"/>
    <s v="Herstellung"/>
    <x v="0"/>
    <x v="0"/>
    <x v="0"/>
    <x v="0"/>
    <x v="0"/>
    <x v="0"/>
    <s v="Werkzeuge (Smoker, Stockmeisel, Sprühflasche, Besen, Zurrgurt…...)"/>
    <m/>
    <x v="2"/>
    <n v="71"/>
    <s v="Betrieb"/>
    <n v="10"/>
    <m/>
    <m/>
    <n v="600"/>
    <m/>
    <n v="60"/>
    <n v="0.84507042253521125"/>
    <n v="2.4144869215291749E-2"/>
    <n v="1.2072434607645875E-2"/>
    <n v="0"/>
  </r>
  <r>
    <n v="54"/>
    <s v="Herstellung"/>
    <x v="0"/>
    <x v="0"/>
    <x v="0"/>
    <x v="0"/>
    <x v="0"/>
    <x v="0"/>
    <s v="Schutzkleidung"/>
    <m/>
    <x v="2"/>
    <n v="71"/>
    <s v="Betrieb"/>
    <n v="5"/>
    <m/>
    <m/>
    <n v="200"/>
    <m/>
    <n v="40"/>
    <n v="0.56338028169014087"/>
    <n v="1.6096579476861168E-2"/>
    <n v="8.0482897384305842E-3"/>
    <n v="0"/>
  </r>
  <r>
    <n v="55"/>
    <s v="Herstellung"/>
    <x v="0"/>
    <x v="0"/>
    <x v="0"/>
    <x v="0"/>
    <x v="0"/>
    <x v="0"/>
    <s v="Futtermittel"/>
    <s v="Interne Statistik Futtermittel LWG/IBI bezogen auf kg Trockenmasse"/>
    <x v="2"/>
    <n v="71"/>
    <s v="WV"/>
    <m/>
    <n v="15"/>
    <m/>
    <n v="1.8"/>
    <m/>
    <n v="2255.294117647059"/>
    <n v="31.764705882352946"/>
    <n v="0.90756302521008414"/>
    <n v="0.45378151260504207"/>
    <n v="0"/>
  </r>
  <r>
    <n v="56"/>
    <s v="Herstellung"/>
    <x v="0"/>
    <x v="0"/>
    <x v="0"/>
    <x v="0"/>
    <x v="1"/>
    <x v="3"/>
    <s v="KFZ-Kosten"/>
    <s v="LWG IBI KFZ Kostenrechner PKW und Hänger; 20 Völker/Stand"/>
    <x v="2"/>
    <n v="71"/>
    <s v="Betrieb"/>
    <m/>
    <n v="40"/>
    <m/>
    <n v="0.52"/>
    <m/>
    <n v="41.6"/>
    <n v="0.58591549295774648"/>
    <n v="1.6740442655935613E-2"/>
    <n v="8.3702213279678063E-3"/>
    <n v="0"/>
  </r>
  <r>
    <n v="57"/>
    <s v="Herstellung"/>
    <x v="0"/>
    <x v="0"/>
    <x v="0"/>
    <x v="0"/>
    <x v="1"/>
    <x v="2"/>
    <s v="Eingriffe / Volk und Jahr"/>
    <m/>
    <x v="2"/>
    <n v="71"/>
    <s v="WV"/>
    <m/>
    <n v="10"/>
    <n v="10"/>
    <n v="14"/>
    <m/>
    <n v="1949.0196078431375"/>
    <n v="27.450980392156865"/>
    <n v="0.78431372549019618"/>
    <n v="0.39215686274509809"/>
    <n v="0"/>
  </r>
  <r>
    <n v="58"/>
    <s v="Herstellung"/>
    <x v="0"/>
    <x v="0"/>
    <x v="0"/>
    <x v="0"/>
    <x v="1"/>
    <x v="2"/>
    <s v="Rüstzeit"/>
    <m/>
    <x v="2"/>
    <n v="71"/>
    <s v="Betrieb"/>
    <m/>
    <n v="40"/>
    <n v="15"/>
    <n v="14"/>
    <m/>
    <n v="140"/>
    <n v="1.971830985915493"/>
    <n v="5.6338028169014086E-2"/>
    <n v="2.8169014084507043E-2"/>
    <n v="0"/>
  </r>
  <r>
    <n v="59"/>
    <s v="Herstellung"/>
    <x v="0"/>
    <x v="0"/>
    <x v="0"/>
    <x v="0"/>
    <x v="1"/>
    <x v="2"/>
    <s v="Fahrtzeit"/>
    <m/>
    <x v="2"/>
    <n v="71"/>
    <s v="Betrieb"/>
    <m/>
    <n v="40"/>
    <n v="2"/>
    <n v="14"/>
    <m/>
    <n v="18.666666666666664"/>
    <n v="0.26291079812206569"/>
    <n v="7.5117370892018769E-3"/>
    <n v="3.7558685446009384E-3"/>
    <n v="0"/>
  </r>
  <r>
    <n v="60"/>
    <s v="Herstellung"/>
    <x v="0"/>
    <x v="0"/>
    <x v="0"/>
    <x v="0"/>
    <x v="1"/>
    <x v="4"/>
    <s v="Sozialversicherung"/>
    <s v="https://www.destatis.de/DE/Themen/Arbeit/Arbeitskosten-Lohnnebenkosten/Tabellen/lohnkosten-deutschland.html"/>
    <x v="2"/>
    <n v="71"/>
    <s v="Betrieb"/>
    <m/>
    <m/>
    <m/>
    <n v="0.28999999999999998"/>
    <m/>
    <n v="659.27235294117634"/>
    <n v="9.2855260977630465"/>
    <n v="0.26530074565037276"/>
    <n v="0.13265037282518638"/>
    <n v="0"/>
  </r>
  <r>
    <n v="61"/>
    <s v="Herstellung"/>
    <x v="0"/>
    <x v="0"/>
    <x v="0"/>
    <x v="0"/>
    <x v="1"/>
    <x v="5"/>
    <s v="Raumkosten"/>
    <s v="https://www.iwkoeln.de/fileadmin/user_upload/Studien/Gutachten/PDF/2023/IWIP_Gutachten_Industrieimmobilien.pdf"/>
    <x v="2"/>
    <n v="71"/>
    <s v="Betrieb"/>
    <n v="1"/>
    <n v="90"/>
    <m/>
    <n v="4.6100000000000003"/>
    <m/>
    <n v="4978.8"/>
    <n v="70.123943661971836"/>
    <n v="2.0035412474849097"/>
    <n v="1.0017706237424548"/>
    <n v="0"/>
  </r>
  <r>
    <n v="62"/>
    <s v="Herstellung"/>
    <x v="0"/>
    <x v="0"/>
    <x v="0"/>
    <x v="0"/>
    <x v="1"/>
    <x v="5"/>
    <s v="Raumnebenkosten (Strom, Wasser, Heizung)"/>
    <s v="https://www.iwkoeln.de/fileadmin/user_upload/Studien/Gutachten/PDF/2023/IWIP_Gutachten_Industrieimmobilien.pdf"/>
    <x v="2"/>
    <n v="71"/>
    <s v="Betrieb"/>
    <n v="1"/>
    <n v="90"/>
    <m/>
    <n v="9.2200000000000004E-2"/>
    <m/>
    <n v="99.575999999999993"/>
    <n v="1.4024788732394364"/>
    <n v="4.0070824949698186E-2"/>
    <n v="2.0035412474849093E-2"/>
    <n v="0"/>
  </r>
  <r>
    <n v="63"/>
    <s v="Herstellung"/>
    <x v="0"/>
    <x v="0"/>
    <x v="0"/>
    <x v="0"/>
    <x v="1"/>
    <x v="6"/>
    <s v="Kapital und Wagnis"/>
    <s v="LfL"/>
    <x v="2"/>
    <n v="71"/>
    <s v="Betrieb"/>
    <m/>
    <n v="13333.983529411766"/>
    <m/>
    <n v="0.03"/>
    <m/>
    <n v="400.01950588235297"/>
    <n v="5.6340775476387739"/>
    <n v="0.16097364421825069"/>
    <n v="8.0486822109125347E-2"/>
    <n v="0"/>
  </r>
  <r>
    <n v="64"/>
    <s v="Herstellung"/>
    <x v="0"/>
    <x v="0"/>
    <x v="0"/>
    <x v="0"/>
    <x v="0"/>
    <x v="0"/>
    <s v="Jungkönigin"/>
    <m/>
    <x v="3"/>
    <n v="150"/>
    <s v="WV"/>
    <n v="2"/>
    <m/>
    <m/>
    <n v="27"/>
    <m/>
    <n v="2025"/>
    <n v="13.5"/>
    <n v="0.38571428571428573"/>
    <n v="0.19285714285714287"/>
    <n v="0"/>
  </r>
  <r>
    <n v="65"/>
    <s v="Herstellung"/>
    <x v="0"/>
    <x v="0"/>
    <x v="0"/>
    <x v="0"/>
    <x v="1"/>
    <x v="1"/>
    <s v="Beutensysteme komplett inkl. Rähmchen, Beutenbock inkl. Mengendegression"/>
    <m/>
    <x v="3"/>
    <n v="150"/>
    <s v="WV"/>
    <n v="15"/>
    <m/>
    <m/>
    <n v="247.5"/>
    <n v="43676.470588235294"/>
    <n v="2911.7647058823527"/>
    <n v="19.411764705882351"/>
    <n v="0.55462184873949572"/>
    <n v="0.27731092436974786"/>
    <n v="291.1764705882353"/>
  </r>
  <r>
    <n v="66"/>
    <s v="Herstellung"/>
    <x v="0"/>
    <x v="0"/>
    <x v="0"/>
    <x v="0"/>
    <x v="1"/>
    <x v="1"/>
    <s v="Stockwaage"/>
    <m/>
    <x v="3"/>
    <n v="150"/>
    <s v="Betrieb"/>
    <n v="10"/>
    <n v="2"/>
    <m/>
    <n v="800"/>
    <n v="1600"/>
    <n v="160"/>
    <n v="1.0666666666666667"/>
    <n v="3.0476190476190476E-2"/>
    <n v="1.5238095238095238E-2"/>
    <n v="10.666666666666666"/>
  </r>
  <r>
    <n v="67"/>
    <s v="Herstellung"/>
    <x v="0"/>
    <x v="0"/>
    <x v="0"/>
    <x v="0"/>
    <x v="1"/>
    <x v="1"/>
    <s v="Hebetechnik"/>
    <m/>
    <x v="3"/>
    <n v="150"/>
    <s v="Betrieb"/>
    <n v="11"/>
    <n v="1"/>
    <m/>
    <n v="4399"/>
    <n v="4399"/>
    <n v="399.90909090909093"/>
    <n v="2.666060606060606"/>
    <n v="7.617316017316017E-2"/>
    <n v="3.8086580086580085E-2"/>
    <n v="29.326666666666668"/>
  </r>
  <r>
    <n v="68"/>
    <s v="Herstellung"/>
    <x v="0"/>
    <x v="0"/>
    <x v="0"/>
    <x v="0"/>
    <x v="1"/>
    <x v="1"/>
    <s v="Ablegerbeutensysteme Remontierung = Verlustrate / 75% erfolgsquote Abelgerbildung"/>
    <m/>
    <x v="3"/>
    <n v="150"/>
    <s v="WV"/>
    <n v="15"/>
    <n v="0.4"/>
    <m/>
    <n v="99"/>
    <n v="5940"/>
    <n v="396"/>
    <n v="2.64"/>
    <n v="7.5428571428571428E-2"/>
    <n v="3.7714285714285714E-2"/>
    <n v="39.6"/>
  </r>
  <r>
    <n v="69"/>
    <s v="Herstellung"/>
    <x v="0"/>
    <x v="0"/>
    <x v="0"/>
    <x v="0"/>
    <x v="0"/>
    <x v="0"/>
    <s v="Rähmchen Ableger"/>
    <s v="Honigerzeugergemeinschaft Süddeutschland w.V. / HEG Imker Shop GmbH  "/>
    <x v="3"/>
    <n v="150"/>
    <s v="WV"/>
    <n v="1"/>
    <n v="0.8"/>
    <m/>
    <n v="1.3"/>
    <m/>
    <n v="156"/>
    <n v="1.04"/>
    <n v="2.9714285714285714E-2"/>
    <n v="1.4857142857142857E-2"/>
    <n v="0"/>
  </r>
  <r>
    <n v="70"/>
    <s v="Herstellung"/>
    <x v="0"/>
    <x v="0"/>
    <x v="0"/>
    <x v="0"/>
    <x v="0"/>
    <x v="0"/>
    <s v="Jungkönigin für Ableger"/>
    <m/>
    <x v="3"/>
    <n v="150"/>
    <s v="WV"/>
    <n v="1"/>
    <n v="0.4"/>
    <m/>
    <n v="27"/>
    <m/>
    <n v="1620"/>
    <n v="10.8"/>
    <n v="0.30857142857142861"/>
    <n v="0.1542857142857143"/>
    <n v="0"/>
  </r>
  <r>
    <n v="71"/>
    <s v="Herstellung"/>
    <x v="0"/>
    <x v="0"/>
    <x v="0"/>
    <x v="0"/>
    <x v="0"/>
    <x v="0"/>
    <s v="Futtermittel für Ableger"/>
    <m/>
    <x v="3"/>
    <n v="150"/>
    <s v="WV"/>
    <m/>
    <n v="4"/>
    <m/>
    <n v="1.8"/>
    <m/>
    <n v="1080"/>
    <n v="7.2"/>
    <n v="0.20571428571428571"/>
    <n v="0.10285714285714286"/>
    <n v="0"/>
  </r>
  <r>
    <n v="72"/>
    <s v="Herstellung"/>
    <x v="0"/>
    <x v="0"/>
    <x v="0"/>
    <x v="0"/>
    <x v="1"/>
    <x v="2"/>
    <s v="Eingriffe / Volk und Jahr Ableger"/>
    <m/>
    <x v="3"/>
    <n v="150"/>
    <s v="WV"/>
    <m/>
    <n v="2"/>
    <n v="5"/>
    <n v="14"/>
    <m/>
    <n v="349.99999999999994"/>
    <n v="2.333333333333333"/>
    <n v="6.6666666666666652E-2"/>
    <n v="3.3333333333333326E-2"/>
    <n v="0"/>
  </r>
  <r>
    <n v="73"/>
    <s v="Herstellung"/>
    <x v="0"/>
    <x v="0"/>
    <x v="0"/>
    <x v="0"/>
    <x v="0"/>
    <x v="0"/>
    <s v="Rähmchenersatz"/>
    <s v="Honigerzeugergemeinschaft Süddeutschland w.V. / HEG Imker Shop GmbH  "/>
    <x v="3"/>
    <n v="150"/>
    <s v="WV"/>
    <m/>
    <n v="2"/>
    <m/>
    <n v="1.3"/>
    <m/>
    <n v="458.8235294117647"/>
    <n v="3.0588235294117645"/>
    <n v="8.7394957983193272E-2"/>
    <n v="4.3697478991596636E-2"/>
    <n v="0"/>
  </r>
  <r>
    <n v="74"/>
    <s v="Herstellung"/>
    <x v="0"/>
    <x v="0"/>
    <x v="0"/>
    <x v="0"/>
    <x v="0"/>
    <x v="0"/>
    <s v="Werkzeuge (Smoker, Stockmeisel, Sprühflasche, Besen, Zurrgurt…...)"/>
    <m/>
    <x v="3"/>
    <n v="150"/>
    <s v="Betrieb"/>
    <n v="10"/>
    <m/>
    <m/>
    <n v="1200"/>
    <m/>
    <n v="120"/>
    <n v="0.8"/>
    <n v="2.2857142857142857E-2"/>
    <n v="1.1428571428571429E-2"/>
    <n v="0"/>
  </r>
  <r>
    <n v="75"/>
    <s v="Herstellung"/>
    <x v="0"/>
    <x v="0"/>
    <x v="0"/>
    <x v="0"/>
    <x v="0"/>
    <x v="0"/>
    <s v="Schutzkleidung"/>
    <m/>
    <x v="3"/>
    <n v="150"/>
    <s v="Betrieb"/>
    <n v="5"/>
    <m/>
    <m/>
    <n v="300"/>
    <m/>
    <n v="60"/>
    <n v="0.4"/>
    <n v="1.1428571428571429E-2"/>
    <n v="5.7142857142857143E-3"/>
    <n v="0"/>
  </r>
  <r>
    <n v="76"/>
    <s v="Herstellung"/>
    <x v="0"/>
    <x v="0"/>
    <x v="0"/>
    <x v="0"/>
    <x v="0"/>
    <x v="0"/>
    <s v="Futtermittel"/>
    <s v="Interne Statistik Futtermittel LWG/IBI bezogen auf kg Trockenmasse"/>
    <x v="3"/>
    <n v="150"/>
    <s v="WV"/>
    <m/>
    <n v="15"/>
    <m/>
    <n v="1.8"/>
    <m/>
    <n v="4764.7058823529414"/>
    <n v="31.764705882352942"/>
    <n v="0.90756302521008403"/>
    <n v="0.45378151260504201"/>
    <n v="0"/>
  </r>
  <r>
    <n v="77"/>
    <s v="Herstellung"/>
    <x v="0"/>
    <x v="0"/>
    <x v="0"/>
    <x v="0"/>
    <x v="1"/>
    <x v="3"/>
    <s v="KFZ-Kosten"/>
    <s v="LWG IBI KFZ Kostenrechner PKW und Hänger; 20 Völker/Stand"/>
    <x v="3"/>
    <n v="150"/>
    <s v="Betrieb"/>
    <m/>
    <n v="80"/>
    <m/>
    <n v="0.52"/>
    <m/>
    <n v="83.2"/>
    <n v="0.55466666666666664"/>
    <n v="1.5847619047619048E-2"/>
    <n v="7.9238095238095239E-3"/>
    <n v="0"/>
  </r>
  <r>
    <n v="78"/>
    <s v="Herstellung"/>
    <x v="0"/>
    <x v="0"/>
    <x v="0"/>
    <x v="0"/>
    <x v="1"/>
    <x v="2"/>
    <s v="Eingriffe / Volk und Jahr"/>
    <m/>
    <x v="3"/>
    <n v="150"/>
    <s v="WV"/>
    <m/>
    <n v="10"/>
    <n v="10"/>
    <n v="14"/>
    <m/>
    <n v="4117.6470588235297"/>
    <n v="27.450980392156865"/>
    <n v="0.78431372549019618"/>
    <n v="0.39215686274509809"/>
    <n v="0"/>
  </r>
  <r>
    <n v="79"/>
    <s v="Herstellung"/>
    <x v="0"/>
    <x v="0"/>
    <x v="0"/>
    <x v="0"/>
    <x v="1"/>
    <x v="2"/>
    <s v="Rüstzeit"/>
    <m/>
    <x v="3"/>
    <n v="150"/>
    <s v="Betrieb"/>
    <m/>
    <n v="80"/>
    <n v="15"/>
    <n v="14"/>
    <m/>
    <n v="280"/>
    <n v="1.8666666666666667"/>
    <n v="5.3333333333333337E-2"/>
    <n v="2.6666666666666668E-2"/>
    <n v="0"/>
  </r>
  <r>
    <n v="80"/>
    <s v="Herstellung"/>
    <x v="0"/>
    <x v="0"/>
    <x v="0"/>
    <x v="0"/>
    <x v="1"/>
    <x v="2"/>
    <s v="Fahrtzeit"/>
    <m/>
    <x v="3"/>
    <n v="150"/>
    <s v="Betrieb"/>
    <m/>
    <n v="80"/>
    <n v="2"/>
    <n v="14"/>
    <m/>
    <n v="37.333333333333329"/>
    <n v="0.24888888888888885"/>
    <n v="7.1111111111111097E-3"/>
    <n v="3.5555555555555549E-3"/>
    <n v="0"/>
  </r>
  <r>
    <n v="81"/>
    <s v="Herstellung"/>
    <x v="0"/>
    <x v="0"/>
    <x v="0"/>
    <x v="0"/>
    <x v="1"/>
    <x v="4"/>
    <s v="Sozialversicherung"/>
    <s v="https://www.destatis.de/DE/Themen/Arbeit/Arbeitskosten-Lohnnebenkosten/Tabellen/lohnkosten-deutschland.html"/>
    <x v="3"/>
    <n v="150"/>
    <s v="Betrieb"/>
    <m/>
    <m/>
    <m/>
    <n v="0.28999999999999998"/>
    <m/>
    <n v="1387.6443137254901"/>
    <n v="9.2509620915032666"/>
    <n v="0.26431320261437907"/>
    <n v="0.13215660130718954"/>
    <n v="0"/>
  </r>
  <r>
    <n v="82"/>
    <s v="Herstellung"/>
    <x v="0"/>
    <x v="0"/>
    <x v="0"/>
    <x v="0"/>
    <x v="1"/>
    <x v="5"/>
    <s v="Raumkosten"/>
    <s v="https://www.iwkoeln.de/fileadmin/user_upload/Studien/Gutachten/PDF/2023/IWIP_Gutachten_Industrieimmobilien.pdf"/>
    <x v="3"/>
    <n v="150"/>
    <s v="Betrieb"/>
    <n v="1"/>
    <n v="110"/>
    <m/>
    <n v="4.6100000000000003"/>
    <m/>
    <n v="6085.2000000000007"/>
    <n v="40.568000000000005"/>
    <n v="1.1590857142857145"/>
    <n v="0.57954285714285725"/>
    <n v="0"/>
  </r>
  <r>
    <n v="83"/>
    <s v="Herstellung"/>
    <x v="0"/>
    <x v="0"/>
    <x v="0"/>
    <x v="0"/>
    <x v="1"/>
    <x v="5"/>
    <s v="Raumnebenkosten (Strom, Wasser, Heizung)"/>
    <s v="https://www.iwkoeln.de/fileadmin/user_upload/Studien/Gutachten/PDF/2023/IWIP_Gutachten_Industrieimmobilien.pdf"/>
    <x v="3"/>
    <n v="150"/>
    <s v="Betrieb"/>
    <n v="1"/>
    <n v="110"/>
    <m/>
    <n v="9.2200000000000004E-2"/>
    <m/>
    <n v="121.70400000000001"/>
    <n v="0.81136000000000008"/>
    <n v="2.3181714285714288E-2"/>
    <n v="1.1590857142857144E-2"/>
    <n v="0"/>
  </r>
  <r>
    <n v="84"/>
    <s v="Herstellung"/>
    <x v="0"/>
    <x v="0"/>
    <x v="0"/>
    <x v="0"/>
    <x v="1"/>
    <x v="6"/>
    <s v="Kapital und Wagnis"/>
    <s v="LfL"/>
    <x v="3"/>
    <n v="150"/>
    <s v="Betrieb"/>
    <m/>
    <n v="27807.735294117647"/>
    <m/>
    <n v="0.03"/>
    <m/>
    <n v="834.23205882352943"/>
    <n v="5.5615470588235292"/>
    <n v="0.15890134453781513"/>
    <n v="7.9450672268907563E-2"/>
    <n v="0"/>
  </r>
  <r>
    <n v="85"/>
    <s v="Herstellung"/>
    <x v="1"/>
    <x v="0"/>
    <x v="0"/>
    <x v="0"/>
    <x v="0"/>
    <x v="0"/>
    <s v="Tierarzneimittel inkl. Applikatoren"/>
    <s v="LWG/IBI: Kosten Varroakonzepte - TAM orientiertes Konzept mit 2xAS/Nheider und OS/Träufel"/>
    <x v="0"/>
    <n v="6"/>
    <s v="WV"/>
    <m/>
    <n v="1"/>
    <m/>
    <n v="7"/>
    <m/>
    <n v="49.411764705882355"/>
    <n v="8.2352941176470598"/>
    <n v="0.23529411764705885"/>
    <n v="0.11764705882352942"/>
    <n v="0"/>
  </r>
  <r>
    <n v="86"/>
    <s v="Herstellung"/>
    <x v="1"/>
    <x v="0"/>
    <x v="0"/>
    <x v="0"/>
    <x v="0"/>
    <x v="0"/>
    <s v="Gasbrenner für Beutendesinfektion (100 EUR für Leerflasche und Brenner+30 EUR je Füllung für 30 Völker p.a.)"/>
    <s v="Brenner mit Propankartusche"/>
    <x v="0"/>
    <n v="6"/>
    <s v="Betrieb"/>
    <m/>
    <n v="1"/>
    <m/>
    <n v="16"/>
    <m/>
    <n v="16"/>
    <n v="2.6666666666666665"/>
    <n v="7.6190476190476183E-2"/>
    <n v="3.8095238095238092E-2"/>
    <n v="0"/>
  </r>
  <r>
    <n v="87"/>
    <s v="Herstellung"/>
    <x v="1"/>
    <x v="0"/>
    <x v="0"/>
    <x v="0"/>
    <x v="0"/>
    <x v="7"/>
    <s v="Gebühren Gesundheitszeugnis / BSV / Analytik Bienenkrankheiten je Stand"/>
    <m/>
    <x v="0"/>
    <n v="6"/>
    <s v="Betrieb"/>
    <m/>
    <n v="1"/>
    <m/>
    <n v="20"/>
    <m/>
    <n v="20"/>
    <n v="3.3333333333333335"/>
    <n v="9.5238095238095247E-2"/>
    <n v="4.7619047619047623E-2"/>
    <n v="0"/>
  </r>
  <r>
    <n v="88"/>
    <s v="Herstellung"/>
    <x v="1"/>
    <x v="0"/>
    <x v="0"/>
    <x v="0"/>
    <x v="1"/>
    <x v="2"/>
    <s v="Reinigung Beuten und Rähmchen"/>
    <m/>
    <x v="0"/>
    <n v="6"/>
    <s v="WV"/>
    <m/>
    <n v="1"/>
    <n v="5"/>
    <n v="14"/>
    <m/>
    <n v="8.235294117647058"/>
    <n v="1.3725490196078429"/>
    <n v="3.9215686274509796E-2"/>
    <n v="1.9607843137254898E-2"/>
    <n v="0"/>
  </r>
  <r>
    <n v="89"/>
    <s v="Herstellung"/>
    <x v="1"/>
    <x v="0"/>
    <x v="0"/>
    <x v="0"/>
    <x v="1"/>
    <x v="2"/>
    <s v="Therapie "/>
    <s v="LWG/IBI: Kosten Varroakonzepte - TAM orientiertes Konzept mit 2xAS/Nheider und OS/Träufel"/>
    <x v="0"/>
    <n v="6"/>
    <s v="WV"/>
    <m/>
    <n v="1"/>
    <n v="11"/>
    <n v="14"/>
    <m/>
    <n v="18.117647058823529"/>
    <n v="3.0196078431372548"/>
    <n v="8.6274509803921567E-2"/>
    <n v="4.3137254901960784E-2"/>
    <n v="0"/>
  </r>
  <r>
    <n v="90"/>
    <s v="Herstellung"/>
    <x v="1"/>
    <x v="0"/>
    <x v="0"/>
    <x v="0"/>
    <x v="1"/>
    <x v="2"/>
    <s v="Diagnose / Schadschwellen / Behandlungskontrolle"/>
    <m/>
    <x v="0"/>
    <n v="6"/>
    <s v="WV"/>
    <m/>
    <n v="2"/>
    <n v="1"/>
    <n v="14"/>
    <m/>
    <n v="3.2941176470588234"/>
    <n v="0.54901960784313719"/>
    <n v="1.5686274509803921E-2"/>
    <n v="7.8431372549019607E-3"/>
    <n v="0"/>
  </r>
  <r>
    <n v="91"/>
    <s v="Herstellung"/>
    <x v="1"/>
    <x v="0"/>
    <x v="0"/>
    <x v="0"/>
    <x v="1"/>
    <x v="2"/>
    <s v="Fahrtzeit"/>
    <m/>
    <x v="0"/>
    <n v="6"/>
    <s v="Betrieb"/>
    <m/>
    <n v="3"/>
    <n v="2"/>
    <n v="14"/>
    <m/>
    <n v="1.4000000000000001"/>
    <n v="0.23333333333333336"/>
    <n v="6.666666666666668E-3"/>
    <n v="3.333333333333334E-3"/>
    <n v="0"/>
  </r>
  <r>
    <n v="92"/>
    <s v="Herstellung"/>
    <x v="1"/>
    <x v="0"/>
    <x v="0"/>
    <x v="0"/>
    <x v="1"/>
    <x v="4"/>
    <s v="Sozialversicherung"/>
    <s v="https://www.destatis.de/DE/Themen/Arbeit/Arbeitskosten-Lohnnebenkosten/Tabellen/lohnkosten-deutschland.html"/>
    <x v="0"/>
    <n v="6"/>
    <s v="Betrieb"/>
    <m/>
    <m/>
    <m/>
    <n v="0.28999999999999998"/>
    <m/>
    <n v="9.0036470588235282"/>
    <n v="1.5006078431372547"/>
    <n v="4.2874509803921566E-2"/>
    <n v="2.1437254901960783E-2"/>
    <n v="0"/>
  </r>
  <r>
    <n v="93"/>
    <s v="Herstellung"/>
    <x v="1"/>
    <x v="0"/>
    <x v="0"/>
    <x v="0"/>
    <x v="1"/>
    <x v="3"/>
    <s v="KFZ-Kosten"/>
    <s v="LWG IBI KFZ Kostenrechner"/>
    <x v="0"/>
    <n v="6"/>
    <s v="Betrieb"/>
    <m/>
    <n v="3"/>
    <m/>
    <n v="0.35"/>
    <m/>
    <n v="2.0999999999999996"/>
    <n v="0.34999999999999992"/>
    <n v="9.9999999999999985E-3"/>
    <n v="4.9999999999999992E-3"/>
    <n v="0"/>
  </r>
  <r>
    <n v="94"/>
    <s v="Herstellung"/>
    <x v="1"/>
    <x v="0"/>
    <x v="0"/>
    <x v="0"/>
    <x v="0"/>
    <x v="0"/>
    <s v="Tierarzneimittel inkl. Applikatoren"/>
    <s v="LWG/IBI: Kosten Varroakonzepte - TAM orientiertes Konzept mit 2xAS/Nheider und OS/Träufel"/>
    <x v="1"/>
    <n v="26"/>
    <s v="WV"/>
    <m/>
    <n v="1"/>
    <m/>
    <n v="7"/>
    <m/>
    <n v="214.11764705882354"/>
    <n v="8.2352941176470598"/>
    <n v="0.23529411764705885"/>
    <n v="0.11764705882352942"/>
    <n v="0"/>
  </r>
  <r>
    <n v="95"/>
    <s v="Herstellung"/>
    <x v="1"/>
    <x v="0"/>
    <x v="0"/>
    <x v="0"/>
    <x v="0"/>
    <x v="0"/>
    <s v="Gasbrenner für Beutendesinfektion (100 EUR für Leerflasche und Brenner+30 EUR je Füllung)"/>
    <s v="Brenner mit Propankartusche"/>
    <x v="1"/>
    <n v="26"/>
    <s v="Betrieb"/>
    <m/>
    <n v="1"/>
    <m/>
    <n v="36"/>
    <m/>
    <n v="36"/>
    <n v="1.3846153846153846"/>
    <n v="3.9560439560439559E-2"/>
    <n v="1.9780219780219779E-2"/>
    <n v="0"/>
  </r>
  <r>
    <n v="96"/>
    <s v="Herstellung"/>
    <x v="1"/>
    <x v="0"/>
    <x v="0"/>
    <x v="0"/>
    <x v="0"/>
    <x v="7"/>
    <s v="Gebühren Gesundheitszeugnis / BSV / Analytik Bienenkrankheiten je Stand"/>
    <m/>
    <x v="1"/>
    <n v="26"/>
    <s v="Betrieb"/>
    <m/>
    <n v="2"/>
    <m/>
    <n v="20"/>
    <m/>
    <n v="40"/>
    <n v="1.5384615384615385"/>
    <n v="4.3956043956043959E-2"/>
    <n v="2.197802197802198E-2"/>
    <n v="0"/>
  </r>
  <r>
    <n v="97"/>
    <s v="Herstellung"/>
    <x v="1"/>
    <x v="0"/>
    <x v="0"/>
    <x v="0"/>
    <x v="1"/>
    <x v="2"/>
    <s v="Reinigung Beuten und Rähmchen"/>
    <m/>
    <x v="1"/>
    <n v="26"/>
    <s v="WV"/>
    <m/>
    <n v="1"/>
    <n v="5"/>
    <n v="14"/>
    <m/>
    <n v="35.686274509803916"/>
    <n v="1.3725490196078429"/>
    <n v="3.9215686274509796E-2"/>
    <n v="1.9607843137254898E-2"/>
    <n v="0"/>
  </r>
  <r>
    <n v="98"/>
    <s v="Herstellung"/>
    <x v="1"/>
    <x v="0"/>
    <x v="0"/>
    <x v="0"/>
    <x v="1"/>
    <x v="2"/>
    <s v="Therapie "/>
    <s v="LWG/IBI: Kosten Varroakonzepte - TAM orientiertes Konzept mit 2xAS/Nheider und OS/Träufel"/>
    <x v="1"/>
    <n v="26"/>
    <s v="WV"/>
    <m/>
    <n v="1"/>
    <n v="11"/>
    <n v="14"/>
    <m/>
    <n v="78.509803921568619"/>
    <n v="3.0196078431372544"/>
    <n v="8.6274509803921554E-2"/>
    <n v="4.3137254901960777E-2"/>
    <n v="0"/>
  </r>
  <r>
    <n v="99"/>
    <s v="Herstellung"/>
    <x v="1"/>
    <x v="0"/>
    <x v="0"/>
    <x v="0"/>
    <x v="1"/>
    <x v="2"/>
    <s v="Diagnose / Schadschwellen / Behandlungskontrolle"/>
    <m/>
    <x v="1"/>
    <n v="26"/>
    <s v="WV"/>
    <m/>
    <n v="2"/>
    <n v="1"/>
    <n v="14"/>
    <m/>
    <n v="14.274509803921568"/>
    <n v="0.54901960784313719"/>
    <n v="1.5686274509803921E-2"/>
    <n v="7.8431372549019607E-3"/>
    <n v="0"/>
  </r>
  <r>
    <n v="100"/>
    <s v="Herstellung"/>
    <x v="1"/>
    <x v="0"/>
    <x v="0"/>
    <x v="0"/>
    <x v="1"/>
    <x v="2"/>
    <s v="Fahrtzeit"/>
    <m/>
    <x v="1"/>
    <n v="26"/>
    <s v="Betrieb"/>
    <m/>
    <n v="6"/>
    <n v="2"/>
    <n v="14"/>
    <m/>
    <n v="2.8000000000000003"/>
    <n v="0.1076923076923077"/>
    <n v="3.0769230769230769E-3"/>
    <n v="1.5384615384615385E-3"/>
    <n v="0"/>
  </r>
  <r>
    <n v="101"/>
    <s v="Herstellung"/>
    <x v="1"/>
    <x v="0"/>
    <x v="0"/>
    <x v="0"/>
    <x v="1"/>
    <x v="4"/>
    <s v="Sozialversicherung"/>
    <s v="https://www.destatis.de/DE/Themen/Arbeit/Arbeitskosten-Lohnnebenkosten/Tabellen/lohnkosten-deutschland.html"/>
    <x v="1"/>
    <n v="26"/>
    <s v="Betrieb"/>
    <m/>
    <m/>
    <m/>
    <n v="0.28999999999999998"/>
    <m/>
    <n v="38.068470588235286"/>
    <n v="1.4641719457013571"/>
    <n v="4.1833484162895916E-2"/>
    <n v="2.0916742081447958E-2"/>
    <n v="0"/>
  </r>
  <r>
    <n v="102"/>
    <s v="Herstellung"/>
    <x v="1"/>
    <x v="0"/>
    <x v="0"/>
    <x v="0"/>
    <x v="1"/>
    <x v="3"/>
    <s v="KFZ-Kosten"/>
    <s v="LWG IBI KFZ Kostenrechner"/>
    <x v="1"/>
    <n v="26"/>
    <s v="Betrieb"/>
    <m/>
    <n v="6"/>
    <m/>
    <n v="0.35"/>
    <m/>
    <n v="4.1999999999999993"/>
    <n v="0.16153846153846152"/>
    <n v="4.6153846153846149E-3"/>
    <n v="2.3076923076923075E-3"/>
    <n v="0"/>
  </r>
  <r>
    <n v="103"/>
    <s v="Herstellung"/>
    <x v="1"/>
    <x v="0"/>
    <x v="0"/>
    <x v="0"/>
    <x v="0"/>
    <x v="0"/>
    <s v="Tierarzneimittel inkl. Applikatoren"/>
    <s v="LWG/IBI: Kosten Varroakonzepte - TAM orientiertes Konzept mit 2xAS/Nheider und OS/Träufel"/>
    <x v="2"/>
    <n v="71"/>
    <s v="WV"/>
    <m/>
    <n v="1"/>
    <m/>
    <n v="7"/>
    <m/>
    <n v="584.70588235294122"/>
    <n v="8.2352941176470598"/>
    <n v="0.23529411764705885"/>
    <n v="0.11764705882352942"/>
    <n v="0"/>
  </r>
  <r>
    <n v="104"/>
    <s v="Herstellung"/>
    <x v="1"/>
    <x v="0"/>
    <x v="0"/>
    <x v="0"/>
    <x v="0"/>
    <x v="0"/>
    <s v="Gasbrenner für Beutendesinfektion (100 EUR für Leerflasche und Brenner+30 EUR je Füllung)"/>
    <s v="Brenner mit Propankartusche"/>
    <x v="2"/>
    <n v="71"/>
    <s v="Betrieb"/>
    <m/>
    <n v="1"/>
    <m/>
    <n v="81"/>
    <m/>
    <n v="81"/>
    <n v="1.1408450704225352"/>
    <n v="3.2595573440643864E-2"/>
    <n v="1.6297786720321932E-2"/>
    <n v="0"/>
  </r>
  <r>
    <n v="105"/>
    <s v="Herstellung"/>
    <x v="1"/>
    <x v="0"/>
    <x v="0"/>
    <x v="0"/>
    <x v="0"/>
    <x v="7"/>
    <s v="Gebühren Gesundheitszeugnis / BSV / Analytik Bienenkrankheiten je Stand"/>
    <m/>
    <x v="2"/>
    <n v="71"/>
    <s v="Betrieb"/>
    <m/>
    <n v="4"/>
    <m/>
    <n v="20"/>
    <m/>
    <n v="80"/>
    <n v="1.1267605633802817"/>
    <n v="3.2193158953722337E-2"/>
    <n v="1.6096579476861168E-2"/>
    <n v="0"/>
  </r>
  <r>
    <n v="106"/>
    <s v="Herstellung"/>
    <x v="1"/>
    <x v="0"/>
    <x v="0"/>
    <x v="0"/>
    <x v="1"/>
    <x v="2"/>
    <s v="Reinigung Beuten und Rähmchen"/>
    <m/>
    <x v="2"/>
    <n v="71"/>
    <s v="WV"/>
    <m/>
    <n v="1"/>
    <n v="5"/>
    <n v="14"/>
    <m/>
    <n v="97.450980392156865"/>
    <n v="1.3725490196078431"/>
    <n v="3.9215686274509803E-2"/>
    <n v="1.9607843137254902E-2"/>
    <n v="0"/>
  </r>
  <r>
    <n v="107"/>
    <s v="Herstellung"/>
    <x v="1"/>
    <x v="0"/>
    <x v="0"/>
    <x v="0"/>
    <x v="1"/>
    <x v="2"/>
    <s v="Therapie "/>
    <s v="LWG/IBI: Kosten Varroakonzepte - TAM orientiertes Konzept mit 2xAS/Nheider und OS/Träufel"/>
    <x v="2"/>
    <n v="71"/>
    <s v="WV"/>
    <m/>
    <n v="1"/>
    <n v="11"/>
    <n v="14"/>
    <m/>
    <n v="214.39215686274508"/>
    <n v="3.0196078431372548"/>
    <n v="8.6274509803921567E-2"/>
    <n v="4.3137254901960784E-2"/>
    <n v="0"/>
  </r>
  <r>
    <n v="108"/>
    <s v="Herstellung"/>
    <x v="1"/>
    <x v="0"/>
    <x v="0"/>
    <x v="0"/>
    <x v="1"/>
    <x v="2"/>
    <s v="Diagnose / Schadschwellen / Behandlungskontrolle"/>
    <m/>
    <x v="2"/>
    <n v="71"/>
    <s v="WV"/>
    <m/>
    <n v="2"/>
    <n v="1"/>
    <n v="14"/>
    <m/>
    <n v="38.980392156862749"/>
    <n v="0.5490196078431373"/>
    <n v="1.5686274509803921E-2"/>
    <n v="7.8431372549019607E-3"/>
    <n v="0"/>
  </r>
  <r>
    <n v="109"/>
    <s v="Herstellung"/>
    <x v="1"/>
    <x v="0"/>
    <x v="0"/>
    <x v="0"/>
    <x v="1"/>
    <x v="2"/>
    <s v="Fahrtzeit"/>
    <m/>
    <x v="2"/>
    <n v="71"/>
    <s v="Betrieb"/>
    <m/>
    <n v="12"/>
    <n v="2"/>
    <n v="14"/>
    <m/>
    <n v="5.6000000000000005"/>
    <n v="7.8873239436619724E-2"/>
    <n v="2.2535211267605635E-3"/>
    <n v="1.1267605633802818E-3"/>
    <n v="0"/>
  </r>
  <r>
    <n v="110"/>
    <s v="Herstellung"/>
    <x v="1"/>
    <x v="0"/>
    <x v="0"/>
    <x v="0"/>
    <x v="1"/>
    <x v="4"/>
    <s v="Sozialversicherung"/>
    <s v="https://www.destatis.de/DE/Themen/Arbeit/Arbeitskosten-Lohnnebenkosten/Tabellen/lohnkosten-deutschland.html"/>
    <x v="2"/>
    <n v="71"/>
    <s v="Betrieb"/>
    <m/>
    <m/>
    <m/>
    <n v="0.28999999999999998"/>
    <m/>
    <n v="103.36282352941176"/>
    <n v="1.4558144159072077"/>
    <n v="4.1594697597348795E-2"/>
    <n v="2.0797348798674398E-2"/>
    <n v="0"/>
  </r>
  <r>
    <n v="111"/>
    <s v="Herstellung"/>
    <x v="1"/>
    <x v="0"/>
    <x v="0"/>
    <x v="0"/>
    <x v="1"/>
    <x v="3"/>
    <s v="KFZ-Kosten"/>
    <s v="LWG IBI KFZ Kostenrechner"/>
    <x v="2"/>
    <n v="71"/>
    <s v="Betrieb"/>
    <m/>
    <n v="12"/>
    <m/>
    <n v="0.35"/>
    <m/>
    <n v="8.3999999999999986"/>
    <n v="0.11830985915492956"/>
    <n v="3.3802816901408444E-3"/>
    <n v="1.6901408450704222E-3"/>
    <n v="0"/>
  </r>
  <r>
    <n v="112"/>
    <s v="Herstellung"/>
    <x v="1"/>
    <x v="0"/>
    <x v="0"/>
    <x v="0"/>
    <x v="0"/>
    <x v="0"/>
    <s v="Tierarzneimittel inkl. Applikatoren"/>
    <s v="LWG/IBI: Kosten Varroakonzepte - TAM orientiertes Konzept mit 2xAS/Nheider und OS/Träufel"/>
    <x v="3"/>
    <n v="150"/>
    <s v="WV"/>
    <m/>
    <n v="1"/>
    <m/>
    <n v="7"/>
    <m/>
    <n v="1235.2941176470588"/>
    <n v="8.235294117647058"/>
    <n v="0.23529411764705879"/>
    <n v="0.1176470588235294"/>
    <n v="0"/>
  </r>
  <r>
    <n v="113"/>
    <s v="Herstellung"/>
    <x v="1"/>
    <x v="0"/>
    <x v="0"/>
    <x v="0"/>
    <x v="0"/>
    <x v="0"/>
    <s v="Gasbrenner für Beutendesinfektion (100 EUR für Leerflasche und Brenner+30 EUR je Füllung)"/>
    <s v="Brenner mit Propankartusche"/>
    <x v="3"/>
    <n v="150"/>
    <s v="Betrieb"/>
    <m/>
    <n v="1"/>
    <m/>
    <n v="160"/>
    <m/>
    <n v="160"/>
    <n v="1.0666666666666667"/>
    <n v="3.0476190476190476E-2"/>
    <n v="1.5238095238095238E-2"/>
    <n v="0"/>
  </r>
  <r>
    <n v="114"/>
    <s v="Herstellung"/>
    <x v="1"/>
    <x v="0"/>
    <x v="0"/>
    <x v="0"/>
    <x v="0"/>
    <x v="7"/>
    <s v="Gebühren Gesundheitszeugnis / BSV / Analytik Bienenkrankheiten je Stand"/>
    <m/>
    <x v="3"/>
    <n v="150"/>
    <s v="Betrieb"/>
    <m/>
    <n v="8"/>
    <m/>
    <n v="20"/>
    <m/>
    <n v="160"/>
    <n v="1.0666666666666667"/>
    <n v="3.0476190476190476E-2"/>
    <n v="1.5238095238095238E-2"/>
    <n v="0"/>
  </r>
  <r>
    <n v="115"/>
    <s v="Herstellung"/>
    <x v="1"/>
    <x v="0"/>
    <x v="0"/>
    <x v="0"/>
    <x v="1"/>
    <x v="2"/>
    <s v="Reinigung Beuten und Rähmchen"/>
    <m/>
    <x v="3"/>
    <n v="150"/>
    <s v="WV"/>
    <m/>
    <n v="1"/>
    <n v="5"/>
    <n v="14"/>
    <m/>
    <n v="205.88235294117644"/>
    <n v="1.3725490196078429"/>
    <n v="3.9215686274509796E-2"/>
    <n v="1.9607843137254898E-2"/>
    <n v="0"/>
  </r>
  <r>
    <n v="116"/>
    <s v="Herstellung"/>
    <x v="1"/>
    <x v="0"/>
    <x v="0"/>
    <x v="0"/>
    <x v="1"/>
    <x v="2"/>
    <s v="Therapie "/>
    <s v="LWG/IBI: Kosten Varroakonzepte - TAM orientiertes Konzept mit 2xAS/Nheider und OS/Träufel"/>
    <x v="3"/>
    <n v="150"/>
    <s v="WV"/>
    <m/>
    <n v="1"/>
    <n v="11"/>
    <n v="14"/>
    <m/>
    <n v="452.94117647058818"/>
    <n v="3.0196078431372544"/>
    <n v="8.6274509803921554E-2"/>
    <n v="4.3137254901960777E-2"/>
    <n v="0"/>
  </r>
  <r>
    <n v="117"/>
    <s v="Herstellung"/>
    <x v="1"/>
    <x v="0"/>
    <x v="0"/>
    <x v="0"/>
    <x v="1"/>
    <x v="2"/>
    <s v="Diagnose / Schadschwellen / Behandlungskontrolle"/>
    <m/>
    <x v="3"/>
    <n v="150"/>
    <s v="WV"/>
    <m/>
    <n v="2"/>
    <n v="1"/>
    <n v="14"/>
    <m/>
    <n v="82.352941176470594"/>
    <n v="0.5490196078431373"/>
    <n v="1.5686274509803921E-2"/>
    <n v="7.8431372549019607E-3"/>
    <n v="0"/>
  </r>
  <r>
    <n v="118"/>
    <s v="Herstellung"/>
    <x v="1"/>
    <x v="0"/>
    <x v="0"/>
    <x v="0"/>
    <x v="1"/>
    <x v="2"/>
    <s v="Fahrtzeit"/>
    <m/>
    <x v="3"/>
    <n v="150"/>
    <s v="Betrieb"/>
    <m/>
    <n v="24"/>
    <n v="2"/>
    <n v="14"/>
    <m/>
    <n v="11.200000000000001"/>
    <n v="7.4666666666666673E-2"/>
    <n v="2.1333333333333334E-3"/>
    <n v="1.0666666666666667E-3"/>
    <n v="0"/>
  </r>
  <r>
    <n v="119"/>
    <s v="Herstellung"/>
    <x v="1"/>
    <x v="0"/>
    <x v="0"/>
    <x v="0"/>
    <x v="1"/>
    <x v="4"/>
    <s v="Sozialversicherung"/>
    <s v="https://www.destatis.de/DE/Themen/Arbeit/Arbeitskosten-Lohnnebenkosten/Tabellen/lohnkosten-deutschland.html"/>
    <x v="3"/>
    <n v="150"/>
    <s v="Betrieb"/>
    <m/>
    <m/>
    <m/>
    <n v="0.28999999999999998"/>
    <m/>
    <n v="218.18917647058822"/>
    <n v="1.4545945098039215"/>
    <n v="4.1559843137254901E-2"/>
    <n v="2.077992156862745E-2"/>
    <n v="0"/>
  </r>
  <r>
    <n v="120"/>
    <s v="Herstellung"/>
    <x v="1"/>
    <x v="0"/>
    <x v="0"/>
    <x v="0"/>
    <x v="1"/>
    <x v="3"/>
    <s v="KFZ-Kosten"/>
    <s v="LWG IBI KFZ Kostenrechner"/>
    <x v="3"/>
    <n v="150"/>
    <s v="Betrieb"/>
    <m/>
    <n v="24"/>
    <m/>
    <n v="0.35"/>
    <m/>
    <n v="16.799999999999997"/>
    <n v="0.11199999999999997"/>
    <n v="3.1999999999999993E-3"/>
    <n v="1.5999999999999996E-3"/>
    <n v="0"/>
  </r>
  <r>
    <n v="121"/>
    <s v="Herstellung"/>
    <x v="2"/>
    <x v="0"/>
    <x v="0"/>
    <x v="0"/>
    <x v="1"/>
    <x v="1"/>
    <s v="Wachsschmelzer, Einkochapparat, Eimer"/>
    <m/>
    <x v="0"/>
    <n v="6"/>
    <s v="Betrieb"/>
    <n v="15"/>
    <m/>
    <m/>
    <n v="400"/>
    <n v="400"/>
    <n v="26.666666666666668"/>
    <n v="4.4444444444444446"/>
    <n v="0.12698412698412698"/>
    <n v="6.3492063492063489E-2"/>
    <n v="66.666666666666671"/>
  </r>
  <r>
    <n v="122"/>
    <s v="Herstellung"/>
    <x v="2"/>
    <x v="0"/>
    <x v="0"/>
    <x v="0"/>
    <x v="0"/>
    <x v="0"/>
    <s v="Mittelwände"/>
    <s v="Zukauf Mittelwände abzgl. Erlös aus Altwachsverkauf"/>
    <x v="0"/>
    <n v="6"/>
    <s v="WV"/>
    <m/>
    <n v="1"/>
    <m/>
    <n v="14"/>
    <m/>
    <n v="98.82352941176471"/>
    <n v="16.47058823529412"/>
    <n v="0.4705882352941177"/>
    <n v="0.23529411764705885"/>
    <n v="0"/>
  </r>
  <r>
    <n v="123"/>
    <s v="Herstellung"/>
    <x v="2"/>
    <x v="0"/>
    <x v="0"/>
    <x v="0"/>
    <x v="0"/>
    <x v="0"/>
    <s v="Strom"/>
    <s v="Versuch Wachsschemlzer IBI 2024 mit 0,1 kWh/ZanderBRW mit effizientem Gerät"/>
    <x v="0"/>
    <n v="6"/>
    <s v="WV"/>
    <n v="1"/>
    <n v="1"/>
    <m/>
    <n v="0.4"/>
    <m/>
    <n v="2.4000000000000004"/>
    <n v="0.40000000000000008"/>
    <n v="1.142857142857143E-2"/>
    <n v="5.7142857142857151E-3"/>
    <n v="0"/>
  </r>
  <r>
    <n v="124"/>
    <s v="Herstellung"/>
    <x v="2"/>
    <x v="0"/>
    <x v="0"/>
    <x v="0"/>
    <x v="0"/>
    <x v="0"/>
    <s v="Werkzeuge (Drahtspanner, Lötgerät, Vorrichtungen…...)"/>
    <s v="pauschal"/>
    <x v="0"/>
    <n v="6"/>
    <s v="Betrieb"/>
    <n v="10"/>
    <m/>
    <m/>
    <n v="20"/>
    <m/>
    <n v="2"/>
    <n v="0.33333333333333331"/>
    <n v="9.5238095238095229E-3"/>
    <n v="4.7619047619047615E-3"/>
    <n v="0"/>
  </r>
  <r>
    <n v="125"/>
    <s v="Herstellung"/>
    <x v="2"/>
    <x v="0"/>
    <x v="0"/>
    <x v="0"/>
    <x v="0"/>
    <x v="8"/>
    <s v="Analytik Wachs / Rückstände / Verfälschung"/>
    <m/>
    <x v="0"/>
    <n v="6"/>
    <s v="Betrieb"/>
    <m/>
    <n v="1"/>
    <m/>
    <n v="0"/>
    <m/>
    <n v="0"/>
    <n v="0"/>
    <n v="0"/>
    <n v="0"/>
    <n v="0"/>
  </r>
  <r>
    <n v="126"/>
    <s v="Herstellung"/>
    <x v="2"/>
    <x v="0"/>
    <x v="0"/>
    <x v="0"/>
    <x v="1"/>
    <x v="2"/>
    <s v="Wabenschmelzen"/>
    <m/>
    <x v="0"/>
    <n v="6"/>
    <s v="WV"/>
    <m/>
    <n v="1"/>
    <n v="20"/>
    <n v="14"/>
    <m/>
    <n v="32.941176470588232"/>
    <n v="5.4901960784313717"/>
    <n v="0.15686274509803919"/>
    <n v="7.8431372549019593E-2"/>
    <n v="0"/>
  </r>
  <r>
    <n v="127"/>
    <s v="Herstellung"/>
    <x v="2"/>
    <x v="0"/>
    <x v="0"/>
    <x v="0"/>
    <x v="1"/>
    <x v="2"/>
    <s v="Mittelwände einlöten"/>
    <m/>
    <x v="0"/>
    <n v="6"/>
    <s v="WV"/>
    <m/>
    <n v="10"/>
    <n v="0.5"/>
    <n v="14"/>
    <m/>
    <n v="8.235294117647058"/>
    <n v="1.3725490196078429"/>
    <n v="3.9215686274509796E-2"/>
    <n v="1.9607843137254898E-2"/>
    <n v="0"/>
  </r>
  <r>
    <n v="128"/>
    <s v="Herstellung"/>
    <x v="2"/>
    <x v="0"/>
    <x v="0"/>
    <x v="0"/>
    <x v="1"/>
    <x v="4"/>
    <s v="Sozialversicherung"/>
    <s v="https://www.destatis.de/DE/Themen/Arbeit/Arbeitskosten-Lohnnebenkosten/Tabellen/lohnkosten-deutschland.html"/>
    <x v="0"/>
    <n v="6"/>
    <s v="Betrieb"/>
    <m/>
    <m/>
    <m/>
    <n v="0.28999999999999998"/>
    <m/>
    <n v="11.941176470588234"/>
    <n v="1.9901960784313724"/>
    <n v="5.6862745098039208E-2"/>
    <n v="2.8431372549019604E-2"/>
    <n v="0"/>
  </r>
  <r>
    <n v="129"/>
    <s v="Herstellung"/>
    <x v="2"/>
    <x v="0"/>
    <x v="0"/>
    <x v="0"/>
    <x v="1"/>
    <x v="6"/>
    <s v="Kapital und Wagnis"/>
    <s v="LfL"/>
    <x v="0"/>
    <n v="6"/>
    <s v="Betrieb"/>
    <m/>
    <n v="200"/>
    <m/>
    <n v="0.03"/>
    <m/>
    <n v="6"/>
    <n v="1"/>
    <n v="2.8571428571428571E-2"/>
    <n v="1.4285714285714285E-2"/>
    <n v="0"/>
  </r>
  <r>
    <n v="130"/>
    <s v="Herstellung"/>
    <x v="2"/>
    <x v="0"/>
    <x v="0"/>
    <x v="0"/>
    <x v="1"/>
    <x v="1"/>
    <s v="Wachsschmelzer, Einkochapparat, Eimer"/>
    <m/>
    <x v="1"/>
    <n v="26"/>
    <s v="Betrieb"/>
    <n v="15"/>
    <m/>
    <m/>
    <n v="800"/>
    <n v="800"/>
    <n v="53.333333333333336"/>
    <n v="2.0512820512820515"/>
    <n v="5.8608058608058615E-2"/>
    <n v="2.9304029304029307E-2"/>
    <n v="30.76923076923077"/>
  </r>
  <r>
    <n v="131"/>
    <s v="Herstellung"/>
    <x v="2"/>
    <x v="0"/>
    <x v="0"/>
    <x v="0"/>
    <x v="0"/>
    <x v="0"/>
    <s v="Mittelwände"/>
    <s v="Zukauf Mittelwände abzgl. Erlös aus Altwachsverkauf"/>
    <x v="1"/>
    <n v="26"/>
    <s v="WV"/>
    <m/>
    <n v="1"/>
    <m/>
    <n v="13.44"/>
    <m/>
    <n v="411.10588235294119"/>
    <n v="15.811764705882354"/>
    <n v="0.45176470588235296"/>
    <n v="0.22588235294117648"/>
    <n v="0"/>
  </r>
  <r>
    <n v="132"/>
    <s v="Herstellung"/>
    <x v="2"/>
    <x v="0"/>
    <x v="0"/>
    <x v="0"/>
    <x v="0"/>
    <x v="0"/>
    <s v="Strom"/>
    <s v="Versuch Wachsschemlzer IBI 2024 mit 0,1 kWh/ZanderBRW mit effizientem Gerät"/>
    <x v="1"/>
    <n v="26"/>
    <s v="WV"/>
    <n v="1"/>
    <n v="1"/>
    <m/>
    <n v="0.4"/>
    <m/>
    <n v="10.4"/>
    <n v="0.4"/>
    <n v="1.1428571428571429E-2"/>
    <n v="5.7142857142857143E-3"/>
    <n v="0"/>
  </r>
  <r>
    <n v="133"/>
    <s v="Herstellung"/>
    <x v="2"/>
    <x v="0"/>
    <x v="0"/>
    <x v="0"/>
    <x v="0"/>
    <x v="0"/>
    <s v="Werkzeuge (Drahtspanner, Lötgerät, Vorrichtungen…...)"/>
    <s v="pauschal"/>
    <x v="1"/>
    <n v="26"/>
    <s v="Betrieb"/>
    <n v="10"/>
    <m/>
    <m/>
    <n v="100"/>
    <m/>
    <n v="10"/>
    <n v="0.38461538461538464"/>
    <n v="1.098901098901099E-2"/>
    <n v="5.4945054945054949E-3"/>
    <n v="0"/>
  </r>
  <r>
    <n v="134"/>
    <s v="Herstellung"/>
    <x v="2"/>
    <x v="0"/>
    <x v="0"/>
    <x v="0"/>
    <x v="0"/>
    <x v="8"/>
    <s v="Analytik Wachs / Rückstände / Verfälschung"/>
    <m/>
    <x v="1"/>
    <n v="26"/>
    <s v="Betrieb"/>
    <m/>
    <n v="1"/>
    <m/>
    <n v="0"/>
    <m/>
    <n v="0"/>
    <n v="0"/>
    <n v="0"/>
    <n v="0"/>
    <n v="0"/>
  </r>
  <r>
    <n v="135"/>
    <s v="Herstellung"/>
    <x v="2"/>
    <x v="0"/>
    <x v="0"/>
    <x v="0"/>
    <x v="1"/>
    <x v="2"/>
    <s v="Wabenschmelzen"/>
    <m/>
    <x v="1"/>
    <n v="26"/>
    <s v="WV"/>
    <m/>
    <n v="1"/>
    <n v="15"/>
    <n v="14"/>
    <m/>
    <n v="107.05882352941177"/>
    <n v="4.1176470588235299"/>
    <n v="0.11764705882352942"/>
    <n v="5.8823529411764712E-2"/>
    <n v="0"/>
  </r>
  <r>
    <n v="136"/>
    <s v="Herstellung"/>
    <x v="2"/>
    <x v="0"/>
    <x v="0"/>
    <x v="0"/>
    <x v="1"/>
    <x v="2"/>
    <s v="Mittelwände einlöten"/>
    <m/>
    <x v="1"/>
    <n v="26"/>
    <s v="WV"/>
    <m/>
    <n v="10"/>
    <n v="0.5"/>
    <n v="14"/>
    <m/>
    <n v="35.686274509803916"/>
    <n v="1.3725490196078429"/>
    <n v="3.9215686274509796E-2"/>
    <n v="1.9607843137254898E-2"/>
    <n v="0"/>
  </r>
  <r>
    <n v="137"/>
    <s v="Herstellung"/>
    <x v="2"/>
    <x v="0"/>
    <x v="0"/>
    <x v="0"/>
    <x v="1"/>
    <x v="4"/>
    <s v="Sozialversicherung"/>
    <s v="https://www.destatis.de/DE/Themen/Arbeit/Arbeitskosten-Lohnnebenkosten/Tabellen/lohnkosten-deutschland.html"/>
    <x v="1"/>
    <n v="26"/>
    <s v="Betrieb"/>
    <m/>
    <m/>
    <m/>
    <n v="0.28999999999999998"/>
    <m/>
    <n v="41.396078431372544"/>
    <n v="1.5921568627450979"/>
    <n v="4.5490196078431369E-2"/>
    <n v="2.2745098039215685E-2"/>
    <n v="0"/>
  </r>
  <r>
    <n v="138"/>
    <s v="Herstellung"/>
    <x v="2"/>
    <x v="0"/>
    <x v="0"/>
    <x v="0"/>
    <x v="1"/>
    <x v="6"/>
    <s v="Kapital und Wagnis"/>
    <s v="LfL"/>
    <x v="1"/>
    <n v="26"/>
    <s v="Betrieb"/>
    <m/>
    <n v="400"/>
    <m/>
    <n v="0.03"/>
    <m/>
    <n v="12"/>
    <n v="0.46153846153846156"/>
    <n v="1.3186813186813187E-2"/>
    <n v="6.5934065934065934E-3"/>
    <n v="0"/>
  </r>
  <r>
    <n v="139"/>
    <s v="Herstellung"/>
    <x v="2"/>
    <x v="0"/>
    <x v="0"/>
    <x v="0"/>
    <x v="1"/>
    <x v="1"/>
    <s v="Wachsschmelzer, Einkochapparat, Eimer"/>
    <m/>
    <x v="2"/>
    <n v="71"/>
    <s v="Betrieb"/>
    <n v="15"/>
    <m/>
    <m/>
    <n v="2735"/>
    <n v="2735"/>
    <n v="182.33333333333334"/>
    <n v="2.568075117370892"/>
    <n v="7.3373574782025483E-2"/>
    <n v="3.6686787391012741E-2"/>
    <n v="38.521126760563384"/>
  </r>
  <r>
    <n v="140"/>
    <s v="Herstellung"/>
    <x v="2"/>
    <x v="0"/>
    <x v="0"/>
    <x v="0"/>
    <x v="0"/>
    <x v="0"/>
    <s v="Mittelwände"/>
    <s v="Zukauf Mittelwände abzgl. Erlös aus Altwachsverkauf"/>
    <x v="2"/>
    <n v="71"/>
    <s v="WV"/>
    <m/>
    <n v="1"/>
    <m/>
    <n v="13.020000000000001"/>
    <m/>
    <n v="1087.5529411764708"/>
    <n v="15.317647058823532"/>
    <n v="0.4376470588235295"/>
    <n v="0.21882352941176475"/>
    <n v="0"/>
  </r>
  <r>
    <n v="141"/>
    <s v="Herstellung"/>
    <x v="2"/>
    <x v="0"/>
    <x v="0"/>
    <x v="0"/>
    <x v="0"/>
    <x v="0"/>
    <s v="Strom"/>
    <s v="Versuch Wachsschemlzer IBI 2024 mit 0,1 kWh/ZanderBRW mit effizientem Gerät"/>
    <x v="2"/>
    <n v="71"/>
    <s v="WV"/>
    <n v="1"/>
    <n v="1"/>
    <m/>
    <n v="0.4"/>
    <m/>
    <n v="28.400000000000002"/>
    <n v="0.4"/>
    <n v="1.1428571428571429E-2"/>
    <n v="5.7142857142857143E-3"/>
    <n v="0"/>
  </r>
  <r>
    <n v="142"/>
    <s v="Herstellung"/>
    <x v="2"/>
    <x v="0"/>
    <x v="0"/>
    <x v="0"/>
    <x v="0"/>
    <x v="0"/>
    <s v="Werkzeuge (Drahtspanner, Lötgerät, Vorrichtungen…...)"/>
    <s v="pauschal"/>
    <x v="2"/>
    <n v="71"/>
    <s v="Betrieb"/>
    <n v="10"/>
    <m/>
    <m/>
    <n v="200"/>
    <m/>
    <n v="20"/>
    <n v="0.28169014084507044"/>
    <n v="8.0482897384305842E-3"/>
    <n v="4.0241448692152921E-3"/>
    <n v="0"/>
  </r>
  <r>
    <n v="143"/>
    <s v="Herstellung"/>
    <x v="2"/>
    <x v="0"/>
    <x v="0"/>
    <x v="0"/>
    <x v="0"/>
    <x v="8"/>
    <s v="Analytik Wachs / Rückstände / Verfälschung"/>
    <m/>
    <x v="2"/>
    <n v="71"/>
    <s v="Betrieb"/>
    <m/>
    <n v="0.5"/>
    <m/>
    <n v="150"/>
    <m/>
    <n v="75"/>
    <n v="1.056338028169014"/>
    <n v="3.0181086519114685E-2"/>
    <n v="1.5090543259557342E-2"/>
    <n v="0"/>
  </r>
  <r>
    <n v="144"/>
    <s v="Herstellung"/>
    <x v="2"/>
    <x v="0"/>
    <x v="0"/>
    <x v="0"/>
    <x v="1"/>
    <x v="2"/>
    <s v="Wabenschmelzen"/>
    <m/>
    <x v="2"/>
    <n v="71"/>
    <s v="WV"/>
    <m/>
    <n v="0.5"/>
    <n v="20"/>
    <n v="14"/>
    <m/>
    <n v="194.90196078431373"/>
    <n v="2.7450980392156863"/>
    <n v="7.8431372549019607E-2"/>
    <n v="3.9215686274509803E-2"/>
    <n v="0"/>
  </r>
  <r>
    <n v="145"/>
    <s v="Herstellung"/>
    <x v="2"/>
    <x v="0"/>
    <x v="0"/>
    <x v="0"/>
    <x v="1"/>
    <x v="2"/>
    <s v="Mittelwände einlöten"/>
    <m/>
    <x v="2"/>
    <n v="71"/>
    <s v="WV"/>
    <m/>
    <n v="10"/>
    <n v="0.5"/>
    <n v="14"/>
    <m/>
    <n v="97.450980392156865"/>
    <n v="1.3725490196078431"/>
    <n v="3.9215686274509803E-2"/>
    <n v="1.9607843137254902E-2"/>
    <n v="0"/>
  </r>
  <r>
    <n v="146"/>
    <s v="Herstellung"/>
    <x v="2"/>
    <x v="0"/>
    <x v="0"/>
    <x v="0"/>
    <x v="1"/>
    <x v="4"/>
    <s v="Sozialversicherung"/>
    <s v="https://www.destatis.de/DE/Themen/Arbeit/Arbeitskosten-Lohnnebenkosten/Tabellen/lohnkosten-deutschland.html"/>
    <x v="2"/>
    <n v="71"/>
    <s v="Betrieb"/>
    <m/>
    <m/>
    <m/>
    <n v="0.28999999999999998"/>
    <m/>
    <n v="84.78235294117647"/>
    <n v="1.1941176470588235"/>
    <n v="3.411764705882353E-2"/>
    <n v="1.7058823529411765E-2"/>
    <n v="0"/>
  </r>
  <r>
    <n v="147"/>
    <s v="Herstellung"/>
    <x v="2"/>
    <x v="0"/>
    <x v="0"/>
    <x v="0"/>
    <x v="1"/>
    <x v="6"/>
    <s v="Kapital und Wagnis"/>
    <s v="LfL"/>
    <x v="2"/>
    <n v="71"/>
    <s v="Betrieb"/>
    <m/>
    <n v="1367.5"/>
    <m/>
    <n v="0.03"/>
    <m/>
    <n v="41.024999999999999"/>
    <n v="0.57781690140845066"/>
    <n v="1.6509054325955733E-2"/>
    <n v="8.2545271629778667E-3"/>
    <n v="0"/>
  </r>
  <r>
    <n v="148"/>
    <s v="Herstellung"/>
    <x v="2"/>
    <x v="0"/>
    <x v="0"/>
    <x v="0"/>
    <x v="1"/>
    <x v="1"/>
    <s v="Wachsschmelzer, Einkochapparat, Eimer"/>
    <m/>
    <x v="3"/>
    <n v="150"/>
    <s v="Betrieb"/>
    <n v="15"/>
    <m/>
    <m/>
    <n v="2735"/>
    <n v="2735"/>
    <n v="182.33333333333334"/>
    <n v="1.2155555555555557"/>
    <n v="3.4730158730158736E-2"/>
    <n v="1.7365079365079368E-2"/>
    <n v="18.233333333333334"/>
  </r>
  <r>
    <n v="149"/>
    <s v="Herstellung"/>
    <x v="2"/>
    <x v="0"/>
    <x v="0"/>
    <x v="0"/>
    <x v="0"/>
    <x v="0"/>
    <s v="Mittelwände"/>
    <s v="Zukauf Mittelwände abzgl. Erlös aus Altwachsverkauf"/>
    <x v="3"/>
    <n v="150"/>
    <s v="WV"/>
    <m/>
    <n v="1"/>
    <m/>
    <n v="12.6"/>
    <m/>
    <n v="2223.5294117647059"/>
    <n v="14.823529411764707"/>
    <n v="0.42352941176470588"/>
    <n v="0.21176470588235294"/>
    <n v="0"/>
  </r>
  <r>
    <n v="150"/>
    <s v="Herstellung"/>
    <x v="2"/>
    <x v="0"/>
    <x v="0"/>
    <x v="0"/>
    <x v="0"/>
    <x v="0"/>
    <s v="Strom"/>
    <s v="Versuch Wachsschemlzer IBI 2024 mit 0,1 kWh/ZanderBRW mit effizientem Gerät"/>
    <x v="3"/>
    <n v="150"/>
    <s v="WV"/>
    <n v="1"/>
    <n v="1"/>
    <m/>
    <n v="0.4"/>
    <m/>
    <n v="60"/>
    <n v="0.4"/>
    <n v="1.1428571428571429E-2"/>
    <n v="5.7142857142857143E-3"/>
    <n v="0"/>
  </r>
  <r>
    <n v="151"/>
    <s v="Herstellung"/>
    <x v="2"/>
    <x v="0"/>
    <x v="0"/>
    <x v="0"/>
    <x v="0"/>
    <x v="0"/>
    <s v="Werkzeuge (Drahtspanner, Lötgerät, Vorrichtungen…...)"/>
    <s v="pauschal"/>
    <x v="3"/>
    <n v="150"/>
    <s v="Betrieb"/>
    <n v="10"/>
    <m/>
    <m/>
    <n v="400"/>
    <m/>
    <n v="40"/>
    <n v="0.26666666666666666"/>
    <n v="7.619047619047619E-3"/>
    <n v="3.8095238095238095E-3"/>
    <n v="0"/>
  </r>
  <r>
    <n v="152"/>
    <s v="Herstellung"/>
    <x v="2"/>
    <x v="0"/>
    <x v="0"/>
    <x v="0"/>
    <x v="0"/>
    <x v="8"/>
    <s v="Analytik Wachs / Rückstände / Verfälschung"/>
    <m/>
    <x v="3"/>
    <n v="150"/>
    <s v="Betrieb"/>
    <m/>
    <n v="1"/>
    <m/>
    <n v="150"/>
    <m/>
    <n v="150"/>
    <n v="1"/>
    <n v="2.8571428571428571E-2"/>
    <n v="1.4285714285714285E-2"/>
    <n v="0"/>
  </r>
  <r>
    <n v="153"/>
    <s v="Herstellung"/>
    <x v="2"/>
    <x v="0"/>
    <x v="0"/>
    <x v="0"/>
    <x v="1"/>
    <x v="2"/>
    <s v="Wabenschmelzen"/>
    <m/>
    <x v="3"/>
    <n v="150"/>
    <s v="WV"/>
    <m/>
    <n v="0.5"/>
    <n v="20"/>
    <n v="14"/>
    <m/>
    <n v="411.76470588235287"/>
    <n v="2.7450980392156858"/>
    <n v="7.8431372549019593E-2"/>
    <n v="3.9215686274509796E-2"/>
    <n v="0"/>
  </r>
  <r>
    <n v="154"/>
    <s v="Herstellung"/>
    <x v="2"/>
    <x v="0"/>
    <x v="0"/>
    <x v="0"/>
    <x v="1"/>
    <x v="2"/>
    <s v="Mittelwände einlöten"/>
    <m/>
    <x v="3"/>
    <n v="150"/>
    <s v="WV"/>
    <m/>
    <n v="10"/>
    <n v="0.5"/>
    <n v="14"/>
    <m/>
    <n v="205.88235294117644"/>
    <n v="1.3725490196078429"/>
    <n v="3.9215686274509796E-2"/>
    <n v="1.9607843137254898E-2"/>
    <n v="0"/>
  </r>
  <r>
    <n v="155"/>
    <s v="Herstellung"/>
    <x v="2"/>
    <x v="0"/>
    <x v="0"/>
    <x v="0"/>
    <x v="1"/>
    <x v="4"/>
    <s v="Sozialversicherung"/>
    <s v="https://www.destatis.de/DE/Themen/Arbeit/Arbeitskosten-Lohnnebenkosten/Tabellen/lohnkosten-deutschland.html"/>
    <x v="3"/>
    <n v="150"/>
    <s v="Betrieb"/>
    <m/>
    <m/>
    <m/>
    <n v="0.28999999999999998"/>
    <m/>
    <n v="179.11764705882348"/>
    <n v="1.1941176470588233"/>
    <n v="3.4117647058823523E-2"/>
    <n v="1.7058823529411762E-2"/>
    <n v="0"/>
  </r>
  <r>
    <n v="156"/>
    <s v="Herstellung"/>
    <x v="2"/>
    <x v="0"/>
    <x v="0"/>
    <x v="0"/>
    <x v="1"/>
    <x v="6"/>
    <s v="Kapital und Wagnis"/>
    <s v="LfL"/>
    <x v="3"/>
    <n v="150"/>
    <s v="Betrieb"/>
    <m/>
    <n v="1367.5"/>
    <m/>
    <n v="0.03"/>
    <m/>
    <n v="41.024999999999999"/>
    <n v="0.27349999999999997"/>
    <n v="7.8142857142857128E-3"/>
    <n v="3.9071428571428564E-3"/>
    <n v="0"/>
  </r>
  <r>
    <n v="157"/>
    <s v="Herstellung"/>
    <x v="3"/>
    <x v="0"/>
    <x v="0"/>
    <x v="0"/>
    <x v="1"/>
    <x v="5"/>
    <s v="Raumkosten"/>
    <s v="https://www.iwkoeln.de/fileadmin/user_upload/Studien/Gutachten/PDF/2023/IWIP_Gutachten_Industrieimmobilien.pdf"/>
    <x v="0"/>
    <n v="6"/>
    <s v="Betrieb"/>
    <n v="1"/>
    <n v="3.5999999999999996"/>
    <m/>
    <n v="6.9150000000000009"/>
    <m/>
    <n v="298.72800000000001"/>
    <n v="49.788000000000004"/>
    <n v="1.4225142857142858"/>
    <n v="0.71125714285714292"/>
    <n v="0"/>
  </r>
  <r>
    <n v="158"/>
    <s v="Herstellung"/>
    <x v="3"/>
    <x v="0"/>
    <x v="0"/>
    <x v="0"/>
    <x v="1"/>
    <x v="5"/>
    <s v="Raumnebenkosten (Strom, Wasser, Heizung)"/>
    <s v="https://www.iwkoeln.de/fileadmin/user_upload/Studien/Gutachten/PDF/2023/IWIP_Gutachten_Industrieimmobilien.pdf"/>
    <x v="0"/>
    <n v="6"/>
    <s v="Betrieb"/>
    <n v="1"/>
    <n v="3.5999999999999996"/>
    <m/>
    <n v="0.13830000000000003"/>
    <m/>
    <n v="5.9745600000000012"/>
    <n v="0.9957600000000002"/>
    <n v="2.845028571428572E-2"/>
    <n v="1.422514285714286E-2"/>
    <n v="0"/>
  </r>
  <r>
    <n v="159"/>
    <s v="Herstellung"/>
    <x v="3"/>
    <x v="0"/>
    <x v="0"/>
    <x v="0"/>
    <x v="1"/>
    <x v="1"/>
    <s v="Technik inkl. Refraktometer"/>
    <m/>
    <x v="0"/>
    <n v="6"/>
    <s v="Betrieb"/>
    <n v="15"/>
    <m/>
    <m/>
    <m/>
    <n v="764"/>
    <n v="50.93333333333333"/>
    <n v="8.4888888888888889"/>
    <n v="0.24253968253968253"/>
    <n v="0.12126984126984126"/>
    <n v="127.33333333333333"/>
  </r>
  <r>
    <n v="160"/>
    <s v="Herstellung"/>
    <x v="3"/>
    <x v="0"/>
    <x v="0"/>
    <x v="0"/>
    <x v="1"/>
    <x v="2"/>
    <s v="Entdeckeln/Schleudern/Sieben/Abschäumen"/>
    <m/>
    <x v="0"/>
    <n v="6"/>
    <s v="1 Schleudergang a 4 Waben"/>
    <n v="1"/>
    <n v="30"/>
    <n v="20"/>
    <n v="14"/>
    <m/>
    <n v="140"/>
    <n v="23.333333333333332"/>
    <n v="0.66666666666666663"/>
    <n v="0.33333333333333331"/>
    <n v="0"/>
  </r>
  <r>
    <n v="161"/>
    <s v="Herstellung"/>
    <x v="3"/>
    <x v="0"/>
    <x v="0"/>
    <x v="0"/>
    <x v="1"/>
    <x v="4"/>
    <s v="Entdeckeln/Schleudern/Sieben/Abschäumen"/>
    <m/>
    <x v="0"/>
    <n v="6"/>
    <s v="Betrieb"/>
    <m/>
    <m/>
    <m/>
    <n v="0.28999999999999998"/>
    <m/>
    <n v="40.599999999999994"/>
    <n v="6.7666666666666657"/>
    <n v="0.1933333333333333"/>
    <n v="9.6666666666666651E-2"/>
    <n v="0"/>
  </r>
  <r>
    <n v="162"/>
    <s v="Herstellung"/>
    <x v="3"/>
    <x v="0"/>
    <x v="0"/>
    <x v="0"/>
    <x v="0"/>
    <x v="0"/>
    <s v="Strom"/>
    <s v="LWG/IBI SofortabfüllenvsLagergebinde: 0,1 kWh/kg Honig"/>
    <x v="0"/>
    <n v="6"/>
    <s v="Betrieb"/>
    <n v="1"/>
    <n v="0.1"/>
    <m/>
    <n v="0.4"/>
    <m/>
    <n v="8.4000000000000021"/>
    <n v="1.4000000000000004"/>
    <n v="4.0000000000000008E-2"/>
    <n v="2.0000000000000004E-2"/>
    <n v="0"/>
  </r>
  <r>
    <n v="163"/>
    <s v="Herstellung"/>
    <x v="3"/>
    <x v="0"/>
    <x v="0"/>
    <x v="0"/>
    <x v="0"/>
    <x v="0"/>
    <s v="Lagergebinde: Erstausstattung"/>
    <s v="14kg Eimer - Honigerzeugergemeinschaft Süddeutschland w.V. / HEG Imker Shop GmbH  "/>
    <x v="0"/>
    <n v="6"/>
    <s v="Betrieb"/>
    <n v="3"/>
    <n v="15"/>
    <m/>
    <n v="2.5"/>
    <m/>
    <n v="12.5"/>
    <n v="2.0833333333333335"/>
    <n v="5.9523809523809527E-2"/>
    <n v="2.9761904761904764E-2"/>
    <n v="0"/>
  </r>
  <r>
    <n v="164"/>
    <s v="Herstellung"/>
    <x v="3"/>
    <x v="0"/>
    <x v="0"/>
    <x v="0"/>
    <x v="0"/>
    <x v="0"/>
    <s v="Lagergebinde: Ersatzbeschaffung"/>
    <s v="14kg Eimer - Honigerzeugergemeinschaft Süddeutschland w.V. / HEG Imker Shop GmbH  "/>
    <x v="0"/>
    <n v="6"/>
    <s v="Betrieb"/>
    <m/>
    <n v="5"/>
    <m/>
    <n v="2.5"/>
    <m/>
    <n v="12.5"/>
    <n v="2.0833333333333335"/>
    <n v="5.9523809523809527E-2"/>
    <n v="2.9761904761904764E-2"/>
    <n v="0"/>
  </r>
  <r>
    <n v="165"/>
    <s v="Herstellung"/>
    <x v="3"/>
    <x v="0"/>
    <x v="0"/>
    <x v="0"/>
    <x v="1"/>
    <x v="6"/>
    <s v="Kapital und Wagnis"/>
    <s v="LfL"/>
    <x v="0"/>
    <n v="6"/>
    <s v="Betrieb"/>
    <m/>
    <n v="382"/>
    <m/>
    <n v="0.03"/>
    <m/>
    <n v="11.459999999999999"/>
    <n v="1.91"/>
    <n v="5.4571428571428569E-2"/>
    <n v="2.7285714285714285E-2"/>
    <n v="0"/>
  </r>
  <r>
    <n v="166"/>
    <s v="Herstellung"/>
    <x v="3"/>
    <x v="0"/>
    <x v="0"/>
    <x v="0"/>
    <x v="0"/>
    <x v="7"/>
    <s v="Gebühren Analytik Honig DIB-Parameter / Sorten"/>
    <s v="je nach Bundesland unterschiedliche Förderung "/>
    <x v="0"/>
    <n v="6"/>
    <s v="Betrieb"/>
    <m/>
    <n v="1"/>
    <m/>
    <n v="30"/>
    <m/>
    <n v="30"/>
    <n v="5"/>
    <n v="0.14285714285714285"/>
    <n v="7.1428571428571425E-2"/>
    <n v="0"/>
  </r>
  <r>
    <n v="167"/>
    <s v="Herstellung"/>
    <x v="3"/>
    <x v="0"/>
    <x v="0"/>
    <x v="0"/>
    <x v="1"/>
    <x v="5"/>
    <s v="Raumkosten"/>
    <s v="https://www.iwkoeln.de/fileadmin/user_upload/Studien/Gutachten/PDF/2023/IWIP_Gutachten_Industrieimmobilien.pdf"/>
    <x v="1"/>
    <n v="26"/>
    <s v="Betrieb"/>
    <n v="1"/>
    <n v="6"/>
    <m/>
    <n v="6.9150000000000009"/>
    <m/>
    <n v="497.88000000000011"/>
    <n v="19.149230769230773"/>
    <n v="0.54712087912087926"/>
    <n v="0.27356043956043963"/>
    <n v="0"/>
  </r>
  <r>
    <n v="168"/>
    <s v="Herstellung"/>
    <x v="3"/>
    <x v="0"/>
    <x v="0"/>
    <x v="0"/>
    <x v="1"/>
    <x v="5"/>
    <s v="Raumnebenkosten (Strom, Wasser, Heizung)"/>
    <s v="https://www.iwkoeln.de/fileadmin/user_upload/Studien/Gutachten/PDF/2023/IWIP_Gutachten_Industrieimmobilien.pdf"/>
    <x v="1"/>
    <n v="26"/>
    <s v="Betrieb"/>
    <n v="1"/>
    <n v="6"/>
    <m/>
    <n v="0.13830000000000003"/>
    <m/>
    <n v="9.9576000000000029"/>
    <n v="0.38298461538461548"/>
    <n v="1.0942417582417586E-2"/>
    <n v="5.4712087912087929E-3"/>
    <n v="0"/>
  </r>
  <r>
    <n v="169"/>
    <s v="Herstellung"/>
    <x v="3"/>
    <x v="0"/>
    <x v="0"/>
    <x v="0"/>
    <x v="1"/>
    <x v="1"/>
    <s v="Technik inkl. Refraktometer"/>
    <m/>
    <x v="1"/>
    <n v="26"/>
    <s v="Betrieb"/>
    <n v="15"/>
    <m/>
    <m/>
    <m/>
    <n v="3923"/>
    <n v="261.53333333333336"/>
    <n v="10.058974358974361"/>
    <n v="0.28739926739926747"/>
    <n v="0.14369963369963373"/>
    <n v="150.88461538461539"/>
  </r>
  <r>
    <n v="170"/>
    <s v="Herstellung"/>
    <x v="3"/>
    <x v="0"/>
    <x v="0"/>
    <x v="0"/>
    <x v="1"/>
    <x v="2"/>
    <s v="Entdeckeln/Schleudern/Sieben/Abschäumen"/>
    <m/>
    <x v="1"/>
    <n v="26"/>
    <s v="1 Schleudergang a 4 Waben"/>
    <n v="1"/>
    <n v="130"/>
    <n v="17"/>
    <n v="14"/>
    <m/>
    <n v="515.66666666666674"/>
    <n v="19.833333333333336"/>
    <n v="0.56666666666666676"/>
    <n v="0.28333333333333338"/>
    <n v="0"/>
  </r>
  <r>
    <n v="171"/>
    <s v="Herstellung"/>
    <x v="3"/>
    <x v="0"/>
    <x v="0"/>
    <x v="0"/>
    <x v="1"/>
    <x v="4"/>
    <s v="Entdeckeln/Schleudern/Sieben/Abschäumen"/>
    <m/>
    <x v="1"/>
    <n v="26"/>
    <s v="Betrieb"/>
    <m/>
    <m/>
    <m/>
    <n v="0.28999999999999998"/>
    <m/>
    <n v="149.54333333333335"/>
    <n v="5.7516666666666669"/>
    <n v="0.16433333333333333"/>
    <n v="8.2166666666666666E-2"/>
    <n v="0"/>
  </r>
  <r>
    <n v="172"/>
    <s v="Herstellung"/>
    <x v="3"/>
    <x v="0"/>
    <x v="0"/>
    <x v="0"/>
    <x v="0"/>
    <x v="0"/>
    <s v="Strom"/>
    <s v="LWG/IBI SofortabfüllenvsLagergebinde: 0,1 kWh/kg Honig"/>
    <x v="1"/>
    <n v="26"/>
    <s v="Betrieb"/>
    <n v="1"/>
    <n v="0.1"/>
    <m/>
    <n v="0.4"/>
    <m/>
    <n v="36.400000000000006"/>
    <n v="1.4000000000000001"/>
    <n v="0.04"/>
    <n v="0.02"/>
    <n v="0"/>
  </r>
  <r>
    <n v="173"/>
    <s v="Herstellung"/>
    <x v="3"/>
    <x v="0"/>
    <x v="0"/>
    <x v="0"/>
    <x v="0"/>
    <x v="0"/>
    <s v="Lagergebinde: Erstausstattung"/>
    <s v="14kg Eimer - Honigerzeugergemeinschaft Süddeutschland w.V. / HEG Imker Shop GmbH  "/>
    <x v="1"/>
    <n v="26"/>
    <s v="Betrieb"/>
    <n v="3"/>
    <n v="65"/>
    <m/>
    <n v="2.5"/>
    <m/>
    <n v="54.166666666666664"/>
    <n v="2.083333333333333"/>
    <n v="5.9523809523809514E-2"/>
    <n v="2.9761904761904757E-2"/>
    <n v="0"/>
  </r>
  <r>
    <n v="174"/>
    <s v="Herstellung"/>
    <x v="3"/>
    <x v="0"/>
    <x v="0"/>
    <x v="0"/>
    <x v="0"/>
    <x v="0"/>
    <s v="Lagergebinde: Ersatzbeschaffung"/>
    <s v="14kg Eimer - Honigerzeugergemeinschaft Süddeutschland w.V. / HEG Imker Shop GmbH  "/>
    <x v="1"/>
    <n v="26"/>
    <s v="Betrieb"/>
    <m/>
    <n v="21.666666666666668"/>
    <m/>
    <n v="2.5"/>
    <m/>
    <n v="54.166666666666671"/>
    <n v="2.0833333333333335"/>
    <n v="5.9523809523809527E-2"/>
    <n v="2.9761904761904764E-2"/>
    <n v="0"/>
  </r>
  <r>
    <n v="175"/>
    <s v="Herstellung"/>
    <x v="3"/>
    <x v="0"/>
    <x v="0"/>
    <x v="0"/>
    <x v="1"/>
    <x v="6"/>
    <s v="Kapital und Wagnis"/>
    <s v="LfL"/>
    <x v="1"/>
    <n v="26"/>
    <s v="Betrieb"/>
    <m/>
    <n v="1961.5"/>
    <m/>
    <n v="0.03"/>
    <m/>
    <n v="58.844999999999999"/>
    <n v="2.2632692307692306"/>
    <n v="6.4664835164835163E-2"/>
    <n v="3.2332417582417582E-2"/>
    <n v="0"/>
  </r>
  <r>
    <n v="176"/>
    <s v="Herstellung"/>
    <x v="3"/>
    <x v="0"/>
    <x v="0"/>
    <x v="0"/>
    <x v="0"/>
    <x v="7"/>
    <s v="Gebühren Analytik Honig DIB-Parameter / Sorten"/>
    <s v="je nach Bundesland unterschiedliche Förderung "/>
    <x v="1"/>
    <n v="26"/>
    <s v="Betrieb"/>
    <m/>
    <n v="2"/>
    <m/>
    <n v="30"/>
    <m/>
    <n v="60"/>
    <n v="2.3076923076923075"/>
    <n v="6.5934065934065922E-2"/>
    <n v="3.2967032967032961E-2"/>
    <n v="0"/>
  </r>
  <r>
    <n v="177"/>
    <s v="Herstellung"/>
    <x v="3"/>
    <x v="0"/>
    <x v="0"/>
    <x v="0"/>
    <x v="1"/>
    <x v="5"/>
    <s v="Raumkosten"/>
    <s v="https://www.iwkoeln.de/fileadmin/user_upload/Studien/Gutachten/PDF/2023/IWIP_Gutachten_Industrieimmobilien.pdf"/>
    <x v="2"/>
    <n v="71"/>
    <s v="Betrieb"/>
    <n v="1"/>
    <n v="22"/>
    <m/>
    <n v="6.9150000000000009"/>
    <m/>
    <n v="1825.5600000000004"/>
    <n v="25.712112676056343"/>
    <n v="0.73463179074446694"/>
    <n v="0.36731589537223347"/>
    <n v="0"/>
  </r>
  <r>
    <n v="178"/>
    <s v="Herstellung"/>
    <x v="3"/>
    <x v="0"/>
    <x v="0"/>
    <x v="0"/>
    <x v="1"/>
    <x v="5"/>
    <s v="Raumnebenkosten (Strom, Wasser, Heizung)"/>
    <s v="https://www.iwkoeln.de/fileadmin/user_upload/Studien/Gutachten/PDF/2023/IWIP_Gutachten_Industrieimmobilien.pdf"/>
    <x v="2"/>
    <n v="71"/>
    <s v="Betrieb"/>
    <n v="1"/>
    <n v="22"/>
    <m/>
    <n v="0.13830000000000003"/>
    <m/>
    <n v="36.511200000000009"/>
    <n v="0.51424225352112685"/>
    <n v="1.4692635814889339E-2"/>
    <n v="7.3463179074446695E-3"/>
    <n v="0"/>
  </r>
  <r>
    <n v="179"/>
    <s v="Herstellung"/>
    <x v="3"/>
    <x v="0"/>
    <x v="0"/>
    <x v="0"/>
    <x v="1"/>
    <x v="1"/>
    <s v="Technik inkl. Refraktometer"/>
    <m/>
    <x v="2"/>
    <n v="71"/>
    <s v="Betrieb"/>
    <n v="15"/>
    <m/>
    <m/>
    <m/>
    <n v="9995"/>
    <n v="666.33333333333337"/>
    <n v="9.384976525821596"/>
    <n v="0.26814218645204563"/>
    <n v="0.13407109322602281"/>
    <n v="140.77464788732394"/>
  </r>
  <r>
    <n v="180"/>
    <s v="Herstellung"/>
    <x v="3"/>
    <x v="0"/>
    <x v="0"/>
    <x v="0"/>
    <x v="1"/>
    <x v="2"/>
    <s v="Entdeckeln/Schleudern/Sieben/Abschäumen"/>
    <m/>
    <x v="2"/>
    <n v="71"/>
    <s v="1 Schleudergang a 4 Waben"/>
    <n v="1"/>
    <n v="236.66666666666666"/>
    <n v="17"/>
    <n v="14"/>
    <m/>
    <n v="938.77777777777783"/>
    <n v="13.222222222222223"/>
    <n v="0.37777777777777782"/>
    <n v="0.18888888888888891"/>
    <n v="0"/>
  </r>
  <r>
    <n v="181"/>
    <s v="Herstellung"/>
    <x v="3"/>
    <x v="0"/>
    <x v="0"/>
    <x v="0"/>
    <x v="1"/>
    <x v="4"/>
    <s v="Entdeckeln/Schleudern/Sieben/Abschäumen"/>
    <m/>
    <x v="2"/>
    <n v="71"/>
    <s v="Betrieb"/>
    <m/>
    <m/>
    <m/>
    <n v="0.28999999999999998"/>
    <m/>
    <n v="272.24555555555554"/>
    <n v="3.8344444444444443"/>
    <n v="0.10955555555555556"/>
    <n v="5.4777777777777779E-2"/>
    <n v="0"/>
  </r>
  <r>
    <n v="182"/>
    <s v="Herstellung"/>
    <x v="3"/>
    <x v="0"/>
    <x v="0"/>
    <x v="0"/>
    <x v="0"/>
    <x v="0"/>
    <s v="Strom"/>
    <s v="LWG/IBI SofortabfüllenvsLagergebinde: 0,1 kWh/kg Honig"/>
    <x v="2"/>
    <n v="71"/>
    <s v="Betrieb"/>
    <n v="1"/>
    <n v="0.1"/>
    <m/>
    <n v="0.4"/>
    <m/>
    <n v="99.40000000000002"/>
    <n v="1.4000000000000004"/>
    <n v="4.0000000000000008E-2"/>
    <n v="2.0000000000000004E-2"/>
    <n v="0"/>
  </r>
  <r>
    <n v="183"/>
    <s v="Herstellung"/>
    <x v="3"/>
    <x v="0"/>
    <x v="0"/>
    <x v="0"/>
    <x v="0"/>
    <x v="0"/>
    <s v="Lagergebinde: Erstausstattung"/>
    <s v="14kg Eimer - Honigerzeugergemeinschaft Süddeutschland w.V. / HEG Imker Shop GmbH  "/>
    <x v="2"/>
    <n v="71"/>
    <s v="Betrieb"/>
    <n v="3"/>
    <n v="178"/>
    <m/>
    <n v="2.5"/>
    <m/>
    <n v="148.33333333333334"/>
    <n v="2.0892018779342725"/>
    <n v="5.9691482226693501E-2"/>
    <n v="2.9845741113346751E-2"/>
    <n v="0"/>
  </r>
  <r>
    <n v="184"/>
    <s v="Herstellung"/>
    <x v="3"/>
    <x v="0"/>
    <x v="0"/>
    <x v="0"/>
    <x v="0"/>
    <x v="0"/>
    <s v="Lagergebinde: Ersatzbeschaffung"/>
    <s v="14kg Eimer - Honigerzeugergemeinschaft Süddeutschland w.V. / HEG Imker Shop GmbH  "/>
    <x v="2"/>
    <n v="71"/>
    <s v="Betrieb"/>
    <m/>
    <n v="59.333333333333336"/>
    <m/>
    <n v="2.5"/>
    <m/>
    <n v="148.33333333333334"/>
    <n v="2.0892018779342725"/>
    <n v="5.9691482226693501E-2"/>
    <n v="2.9845741113346751E-2"/>
    <n v="0"/>
  </r>
  <r>
    <n v="185"/>
    <s v="Herstellung"/>
    <x v="3"/>
    <x v="0"/>
    <x v="0"/>
    <x v="0"/>
    <x v="1"/>
    <x v="6"/>
    <s v="Kapital und Wagnis"/>
    <s v="LfL"/>
    <x v="2"/>
    <n v="71"/>
    <s v="Betrieb"/>
    <m/>
    <n v="4997.5"/>
    <m/>
    <n v="0.03"/>
    <m/>
    <n v="149.92499999999998"/>
    <n v="2.1116197183098588"/>
    <n v="6.0331991951710254E-2"/>
    <n v="3.0165995975855127E-2"/>
    <n v="0"/>
  </r>
  <r>
    <n v="186"/>
    <s v="Herstellung"/>
    <x v="3"/>
    <x v="0"/>
    <x v="0"/>
    <x v="0"/>
    <x v="0"/>
    <x v="7"/>
    <s v="Gebühren Analytik Honig DIB-Parameter / Sorten"/>
    <s v="je nach Bundesland unterschiedliche Förderung "/>
    <x v="2"/>
    <n v="71"/>
    <s v="Betrieb"/>
    <m/>
    <n v="3"/>
    <m/>
    <n v="30"/>
    <m/>
    <n v="90"/>
    <n v="1.267605633802817"/>
    <n v="3.6217303822937627E-2"/>
    <n v="1.8108651911468814E-2"/>
    <n v="0"/>
  </r>
  <r>
    <n v="187"/>
    <s v="Herstellung"/>
    <x v="3"/>
    <x v="0"/>
    <x v="0"/>
    <x v="0"/>
    <x v="1"/>
    <x v="5"/>
    <s v="Raumkosten"/>
    <s v="https://www.iwkoeln.de/fileadmin/user_upload/Studien/Gutachten/PDF/2023/IWIP_Gutachten_Industrieimmobilien.pdf"/>
    <x v="3"/>
    <n v="150"/>
    <s v="Betrieb"/>
    <n v="1"/>
    <n v="22"/>
    <m/>
    <n v="6.9150000000000009"/>
    <m/>
    <n v="1825.5600000000004"/>
    <n v="12.170400000000003"/>
    <n v="0.34772571428571436"/>
    <n v="0.17386285714285718"/>
    <n v="0"/>
  </r>
  <r>
    <n v="188"/>
    <s v="Herstellung"/>
    <x v="3"/>
    <x v="0"/>
    <x v="0"/>
    <x v="0"/>
    <x v="1"/>
    <x v="5"/>
    <s v="Raumnebenkosten (Strom, Wasser, Heizung)"/>
    <s v="https://www.iwkoeln.de/fileadmin/user_upload/Studien/Gutachten/PDF/2023/IWIP_Gutachten_Industrieimmobilien.pdf"/>
    <x v="3"/>
    <n v="150"/>
    <s v="Betrieb"/>
    <n v="1"/>
    <n v="22"/>
    <m/>
    <n v="0.13830000000000003"/>
    <m/>
    <n v="36.511200000000009"/>
    <n v="0.24340800000000007"/>
    <n v="6.9545142857142875E-3"/>
    <n v="3.4772571428571437E-3"/>
    <n v="0"/>
  </r>
  <r>
    <n v="189"/>
    <s v="Herstellung"/>
    <x v="3"/>
    <x v="0"/>
    <x v="0"/>
    <x v="0"/>
    <x v="1"/>
    <x v="1"/>
    <s v="Technik inkl. Refraktometer"/>
    <m/>
    <x v="3"/>
    <n v="150"/>
    <s v="Betrieb"/>
    <n v="15"/>
    <m/>
    <m/>
    <m/>
    <n v="12082"/>
    <n v="805.4666666666667"/>
    <n v="5.3697777777777782"/>
    <n v="0.15342222222222224"/>
    <n v="7.6711111111111119E-2"/>
    <n v="80.546666666666667"/>
  </r>
  <r>
    <n v="190"/>
    <s v="Herstellung"/>
    <x v="3"/>
    <x v="0"/>
    <x v="0"/>
    <x v="0"/>
    <x v="1"/>
    <x v="2"/>
    <s v="Entdeckeln/Schleudern/Sieben/Abschäumen"/>
    <m/>
    <x v="3"/>
    <n v="150"/>
    <s v="1 Schleudergang a 4 Waben"/>
    <n v="1"/>
    <n v="500"/>
    <n v="15"/>
    <n v="14"/>
    <m/>
    <n v="1750"/>
    <n v="11.666666666666666"/>
    <n v="0.33333333333333331"/>
    <n v="0.16666666666666666"/>
    <n v="0"/>
  </r>
  <r>
    <n v="191"/>
    <s v="Herstellung"/>
    <x v="3"/>
    <x v="0"/>
    <x v="0"/>
    <x v="0"/>
    <x v="1"/>
    <x v="4"/>
    <s v="Entdeckeln/Schleudern/Sieben/Abschäumen"/>
    <m/>
    <x v="3"/>
    <n v="150"/>
    <s v="Betrieb"/>
    <m/>
    <m/>
    <m/>
    <n v="0.28999999999999998"/>
    <m/>
    <n v="507.49999999999994"/>
    <n v="3.3833333333333329"/>
    <n v="9.6666666666666651E-2"/>
    <n v="4.8333333333333325E-2"/>
    <n v="0"/>
  </r>
  <r>
    <n v="192"/>
    <s v="Herstellung"/>
    <x v="3"/>
    <x v="0"/>
    <x v="0"/>
    <x v="0"/>
    <x v="0"/>
    <x v="0"/>
    <s v="Strom"/>
    <s v="LWG/IBI SofortabfüllenvsLagergebinde: 0,1 kWh/kg Honig"/>
    <x v="3"/>
    <n v="150"/>
    <s v="Betrieb"/>
    <n v="1"/>
    <n v="0.1"/>
    <m/>
    <n v="0.4"/>
    <m/>
    <n v="210.00000000000003"/>
    <n v="1.4000000000000001"/>
    <n v="0.04"/>
    <n v="0.02"/>
    <n v="0"/>
  </r>
  <r>
    <n v="193"/>
    <s v="Herstellung"/>
    <x v="3"/>
    <x v="0"/>
    <x v="0"/>
    <x v="0"/>
    <x v="0"/>
    <x v="0"/>
    <s v="Lagergebinde: Erstausstattung"/>
    <s v="300kg Abfüllbehälter"/>
    <x v="3"/>
    <n v="150"/>
    <s v="Betrieb"/>
    <n v="3"/>
    <n v="18"/>
    <m/>
    <n v="60"/>
    <m/>
    <n v="360"/>
    <n v="2.4"/>
    <n v="6.8571428571428575E-2"/>
    <n v="3.4285714285714287E-2"/>
    <n v="0"/>
  </r>
  <r>
    <n v="194"/>
    <s v="Herstellung"/>
    <x v="3"/>
    <x v="0"/>
    <x v="0"/>
    <x v="0"/>
    <x v="0"/>
    <x v="0"/>
    <m/>
    <s v="300kg Abfüllbehälter"/>
    <x v="3"/>
    <n v="150"/>
    <s v="Betrieb"/>
    <m/>
    <m/>
    <m/>
    <m/>
    <m/>
    <n v="0"/>
    <n v="0"/>
    <n v="0"/>
    <n v="0"/>
    <n v="0"/>
  </r>
  <r>
    <n v="195"/>
    <s v="Herstellung"/>
    <x v="3"/>
    <x v="0"/>
    <x v="0"/>
    <x v="0"/>
    <x v="1"/>
    <x v="6"/>
    <s v="Kapital und Wagnis"/>
    <s v="LfL"/>
    <x v="3"/>
    <n v="150"/>
    <s v="Betrieb"/>
    <m/>
    <n v="6041"/>
    <m/>
    <n v="0.03"/>
    <m/>
    <n v="181.23"/>
    <n v="1.2081999999999999"/>
    <n v="3.4519999999999995E-2"/>
    <n v="1.7259999999999998E-2"/>
    <n v="0"/>
  </r>
  <r>
    <n v="196"/>
    <s v="Herstellung"/>
    <x v="3"/>
    <x v="0"/>
    <x v="0"/>
    <x v="0"/>
    <x v="0"/>
    <x v="7"/>
    <s v="Gebühren Analytik Honig DIB-Parameter / Sorten"/>
    <s v="je nach Bundesland unterschiedliche Förderung "/>
    <x v="3"/>
    <n v="150"/>
    <s v="Betrieb"/>
    <m/>
    <n v="5"/>
    <m/>
    <n v="30"/>
    <m/>
    <n v="150"/>
    <n v="1"/>
    <n v="2.8571428571428571E-2"/>
    <n v="1.4285714285714285E-2"/>
    <n v="0"/>
  </r>
  <r>
    <n v="197"/>
    <s v="Herstellung"/>
    <x v="4"/>
    <x v="0"/>
    <x v="0"/>
    <x v="1"/>
    <x v="1"/>
    <x v="5"/>
    <s v="Raumkosten"/>
    <s v="https://www.iwkoeln.de/fileadmin/user_upload/Studien/Gutachten/PDF/2023/IWIP_Gutachten_Industrieimmobilien.pdf"/>
    <x v="0"/>
    <n v="6"/>
    <s v="Betrieb"/>
    <n v="1"/>
    <n v="3.5999999999999996"/>
    <m/>
    <n v="6.9150000000000009"/>
    <m/>
    <n v="298.72800000000001"/>
    <n v="49.788000000000004"/>
    <n v="1.4225142857142858"/>
    <n v="0.71125714285714292"/>
    <n v="0"/>
  </r>
  <r>
    <n v="198"/>
    <s v="Herstellung"/>
    <x v="4"/>
    <x v="0"/>
    <x v="0"/>
    <x v="1"/>
    <x v="1"/>
    <x v="5"/>
    <s v="Raumnebenkosten (Strom, Wasser, Heizung)"/>
    <s v="https://www.iwkoeln.de/fileadmin/user_upload/Studien/Gutachten/PDF/2023/IWIP_Gutachten_Industrieimmobilien.pdf"/>
    <x v="0"/>
    <n v="6"/>
    <s v="Betrieb"/>
    <n v="1"/>
    <n v="3.5999999999999996"/>
    <m/>
    <n v="0.13830000000000003"/>
    <m/>
    <n v="5.9745600000000012"/>
    <n v="0.9957600000000002"/>
    <n v="2.845028571428572E-2"/>
    <n v="1.422514285714286E-2"/>
    <n v="0"/>
  </r>
  <r>
    <n v="199"/>
    <s v="Herstellung"/>
    <x v="4"/>
    <x v="0"/>
    <x v="0"/>
    <x v="1"/>
    <x v="1"/>
    <x v="1"/>
    <s v="Technik inkl. Waage geeicht"/>
    <m/>
    <x v="0"/>
    <n v="6"/>
    <s v="Betrieb"/>
    <n v="15"/>
    <m/>
    <m/>
    <m/>
    <n v="980"/>
    <n v="65.333333333333329"/>
    <n v="10.888888888888888"/>
    <n v="0.31111111111111106"/>
    <n v="0.15555555555555553"/>
    <n v="163.33333333333334"/>
  </r>
  <r>
    <n v="200"/>
    <s v="Herstellung"/>
    <x v="4"/>
    <x v="0"/>
    <x v="0"/>
    <x v="1"/>
    <x v="0"/>
    <x v="7"/>
    <s v="Eichung Waage"/>
    <m/>
    <x v="0"/>
    <n v="6"/>
    <s v="Betrieb"/>
    <m/>
    <n v="0.5"/>
    <m/>
    <n v="113.92000000000002"/>
    <m/>
    <n v="56.960000000000008"/>
    <n v="9.4933333333333341"/>
    <n v="0.27123809523809528"/>
    <n v="0.13561904761904764"/>
    <n v="0"/>
  </r>
  <r>
    <n v="201"/>
    <s v="Herstellung"/>
    <x v="4"/>
    <x v="0"/>
    <x v="0"/>
    <x v="1"/>
    <x v="1"/>
    <x v="2"/>
    <s v="Anwärmen/Rühren/Abfüllen/Etikettieren"/>
    <m/>
    <x v="0"/>
    <n v="6"/>
    <s v="Glas"/>
    <n v="1"/>
    <n v="420"/>
    <n v="2"/>
    <n v="14"/>
    <m/>
    <n v="196"/>
    <n v="32.666666666666664"/>
    <n v="0.93333333333333324"/>
    <n v="0.46666666666666662"/>
    <n v="0"/>
  </r>
  <r>
    <n v="202"/>
    <s v="Herstellung"/>
    <x v="4"/>
    <x v="0"/>
    <x v="0"/>
    <x v="1"/>
    <x v="0"/>
    <x v="0"/>
    <s v="Strom"/>
    <s v="LWG/IBI SofortabfüllenvsLagergebinde: 0,2 kWh/kg Honig"/>
    <x v="0"/>
    <n v="6"/>
    <s v="Betrieb"/>
    <n v="1"/>
    <n v="0.2"/>
    <m/>
    <n v="0.4"/>
    <m/>
    <n v="16.800000000000004"/>
    <n v="2.8000000000000007"/>
    <n v="8.0000000000000016E-2"/>
    <n v="4.0000000000000008E-2"/>
    <n v="0"/>
  </r>
  <r>
    <n v="203"/>
    <s v="Herstellung"/>
    <x v="4"/>
    <x v="0"/>
    <x v="0"/>
    <x v="1"/>
    <x v="0"/>
    <x v="0"/>
    <s v="Primärpackmittel: Glas Erstausstattung"/>
    <m/>
    <x v="0"/>
    <n v="6"/>
    <s v="Betrieb"/>
    <n v="10"/>
    <n v="420"/>
    <m/>
    <n v="0.51"/>
    <m/>
    <n v="21.42"/>
    <n v="3.5700000000000003"/>
    <n v="0.10200000000000001"/>
    <n v="5.1000000000000004E-2"/>
    <n v="0"/>
  </r>
  <r>
    <n v="204"/>
    <s v="Herstellung"/>
    <x v="4"/>
    <x v="0"/>
    <x v="0"/>
    <x v="1"/>
    <x v="0"/>
    <x v="0"/>
    <s v="Primärpackmittel: Glas Ersatzbeschaffung"/>
    <s v="Honigerzeugergemeinschaft Süddeutschland w.V. / HEG Imker Shop GmbH  "/>
    <x v="0"/>
    <n v="6"/>
    <s v="Betrieb"/>
    <m/>
    <n v="126.00000000000001"/>
    <m/>
    <n v="0.51"/>
    <m/>
    <n v="64.260000000000005"/>
    <n v="10.71"/>
    <n v="0.30600000000000005"/>
    <n v="0.15300000000000002"/>
    <n v="0"/>
  </r>
  <r>
    <n v="205"/>
    <s v="Herstellung"/>
    <x v="4"/>
    <x v="0"/>
    <x v="0"/>
    <x v="1"/>
    <x v="0"/>
    <x v="0"/>
    <s v="Primärpackmittel: Deckel"/>
    <s v="Honigerzeugergemeinschaft Süddeutschland w.V. / HEG Imker Shop GmbH  "/>
    <x v="0"/>
    <n v="6"/>
    <s v="VE"/>
    <m/>
    <n v="1"/>
    <m/>
    <n v="0.13"/>
    <m/>
    <n v="54.6"/>
    <n v="9.1"/>
    <n v="0.26"/>
    <n v="0.13"/>
    <n v="0"/>
  </r>
  <r>
    <n v="206"/>
    <s v="Herstellung"/>
    <x v="4"/>
    <x v="0"/>
    <x v="0"/>
    <x v="1"/>
    <x v="0"/>
    <x v="0"/>
    <s v="Primärpackmittel: Deckeleinlage"/>
    <s v="Honigerzeugergemeinschaft Süddeutschland w.V. / HEG Imker Shop GmbH  "/>
    <x v="0"/>
    <n v="6"/>
    <s v="VE"/>
    <m/>
    <n v="1"/>
    <m/>
    <n v="3.0333333333333334E-2"/>
    <m/>
    <n v="12.74"/>
    <n v="2.1233333333333335"/>
    <n v="6.0666666666666674E-2"/>
    <n v="3.0333333333333337E-2"/>
    <n v="0"/>
  </r>
  <r>
    <n v="207"/>
    <s v="Herstellung"/>
    <x v="4"/>
    <x v="0"/>
    <x v="0"/>
    <x v="1"/>
    <x v="0"/>
    <x v="0"/>
    <s v="Primärpackmittel: Gewährstreifen"/>
    <s v="DIB selbstklebend auf Bogen https://deutscherimkerbund.de/wp-content/uploads/2025/07/gewahrverschlussvarianten-und-preise-2025-07.pdf"/>
    <x v="0"/>
    <n v="6"/>
    <s v="VE"/>
    <m/>
    <n v="1"/>
    <m/>
    <n v="0.28687499999999999"/>
    <m/>
    <n v="120.4875"/>
    <n v="20.081250000000001"/>
    <n v="0.57374999999999998"/>
    <n v="0.28687499999999999"/>
    <n v="0"/>
  </r>
  <r>
    <n v="208"/>
    <s v="Herstellung"/>
    <x v="4"/>
    <x v="0"/>
    <x v="0"/>
    <x v="1"/>
    <x v="1"/>
    <x v="6"/>
    <s v="Kapital und Wagnis"/>
    <s v="LfL"/>
    <x v="0"/>
    <n v="6"/>
    <s v="Betrieb"/>
    <m/>
    <n v="490"/>
    <m/>
    <n v="0.03"/>
    <m/>
    <n v="14.7"/>
    <n v="2.4499999999999997"/>
    <n v="6.9999999999999993E-2"/>
    <n v="3.4999999999999996E-2"/>
    <n v="0"/>
  </r>
  <r>
    <n v="209"/>
    <s v="Herstellung"/>
    <x v="4"/>
    <x v="0"/>
    <x v="0"/>
    <x v="1"/>
    <x v="1"/>
    <x v="5"/>
    <s v="Raumkosten"/>
    <s v="https://www.iwkoeln.de/fileadmin/user_upload/Studien/Gutachten/PDF/2023/IWIP_Gutachten_Industrieimmobilien.pdf"/>
    <x v="1"/>
    <n v="26"/>
    <s v="Betrieb"/>
    <n v="1"/>
    <n v="6"/>
    <m/>
    <n v="6.9150000000000009"/>
    <m/>
    <n v="497.88000000000011"/>
    <n v="19.149230769230773"/>
    <n v="0.54712087912087926"/>
    <n v="0.27356043956043963"/>
    <n v="0"/>
  </r>
  <r>
    <n v="210"/>
    <s v="Herstellung"/>
    <x v="4"/>
    <x v="0"/>
    <x v="0"/>
    <x v="1"/>
    <x v="1"/>
    <x v="5"/>
    <s v="Raumnebenkosten (Strom, Wasser, Heizung)"/>
    <s v="https://www.iwkoeln.de/fileadmin/user_upload/Studien/Gutachten/PDF/2023/IWIP_Gutachten_Industrieimmobilien.pdf"/>
    <x v="1"/>
    <n v="26"/>
    <s v="Betrieb"/>
    <n v="1"/>
    <n v="6"/>
    <m/>
    <n v="0.13830000000000003"/>
    <m/>
    <n v="9.9576000000000029"/>
    <n v="0.38298461538461548"/>
    <n v="1.0942417582417586E-2"/>
    <n v="5.4712087912087929E-3"/>
    <n v="0"/>
  </r>
  <r>
    <n v="211"/>
    <s v="Herstellung"/>
    <x v="4"/>
    <x v="0"/>
    <x v="0"/>
    <x v="1"/>
    <x v="1"/>
    <x v="1"/>
    <s v="Technik inkl. Waage geeicht"/>
    <m/>
    <x v="1"/>
    <n v="26"/>
    <s v="Betrieb"/>
    <n v="15"/>
    <m/>
    <m/>
    <m/>
    <n v="2535"/>
    <n v="169"/>
    <n v="6.5"/>
    <n v="0.18571428571428572"/>
    <n v="9.285714285714286E-2"/>
    <n v="97.5"/>
  </r>
  <r>
    <n v="212"/>
    <s v="Herstellung"/>
    <x v="4"/>
    <x v="0"/>
    <x v="0"/>
    <x v="1"/>
    <x v="0"/>
    <x v="7"/>
    <s v="Eichung Waage"/>
    <m/>
    <x v="1"/>
    <n v="26"/>
    <s v="Betrieb"/>
    <m/>
    <n v="0.5"/>
    <m/>
    <n v="113.92000000000002"/>
    <m/>
    <n v="56.960000000000008"/>
    <n v="2.1907692307692312"/>
    <n v="6.2593406593406606E-2"/>
    <n v="3.1296703296703303E-2"/>
    <n v="0"/>
  </r>
  <r>
    <n v="213"/>
    <s v="Herstellung"/>
    <x v="4"/>
    <x v="0"/>
    <x v="0"/>
    <x v="1"/>
    <x v="1"/>
    <x v="2"/>
    <s v="Anwärmen/Rühren/Abfüllen/Etikettieren"/>
    <m/>
    <x v="1"/>
    <n v="26"/>
    <s v="Glas"/>
    <n v="1"/>
    <n v="1820"/>
    <n v="1.5"/>
    <n v="14"/>
    <m/>
    <n v="637"/>
    <n v="24.5"/>
    <n v="0.7"/>
    <n v="0.35"/>
    <n v="0"/>
  </r>
  <r>
    <n v="214"/>
    <s v="Herstellung"/>
    <x v="4"/>
    <x v="0"/>
    <x v="0"/>
    <x v="1"/>
    <x v="0"/>
    <x v="0"/>
    <s v="Strom"/>
    <s v="LWG/IBI SofortabfüllenvsLagergebinde: 0,2 kWh/kg Honig"/>
    <x v="1"/>
    <n v="26"/>
    <s v="Betrieb"/>
    <n v="1"/>
    <n v="0.2"/>
    <m/>
    <n v="0.4"/>
    <m/>
    <n v="72.800000000000011"/>
    <n v="2.8000000000000003"/>
    <n v="0.08"/>
    <n v="0.04"/>
    <n v="0"/>
  </r>
  <r>
    <n v="215"/>
    <s v="Herstellung"/>
    <x v="4"/>
    <x v="0"/>
    <x v="0"/>
    <x v="1"/>
    <x v="0"/>
    <x v="0"/>
    <s v="Primärpackmittel: Glas Erstausstattung"/>
    <m/>
    <x v="1"/>
    <n v="26"/>
    <s v="Betrieb"/>
    <n v="10"/>
    <n v="1820"/>
    <m/>
    <n v="0.51"/>
    <m/>
    <n v="92.820000000000007"/>
    <n v="3.5700000000000003"/>
    <n v="0.10200000000000001"/>
    <n v="5.1000000000000004E-2"/>
    <n v="0"/>
  </r>
  <r>
    <n v="216"/>
    <s v="Herstellung"/>
    <x v="4"/>
    <x v="0"/>
    <x v="0"/>
    <x v="1"/>
    <x v="0"/>
    <x v="0"/>
    <s v="Primärpackmittel: Glas Ersatzbeschaffung"/>
    <s v="Honigerzeugergemeinschaft Süddeutschland w.V. / HEG Imker Shop GmbH  "/>
    <x v="1"/>
    <n v="26"/>
    <s v="Betrieb"/>
    <m/>
    <n v="546.00000000000011"/>
    <m/>
    <n v="0.51"/>
    <m/>
    <n v="278.46000000000004"/>
    <n v="10.71"/>
    <n v="0.30600000000000005"/>
    <n v="0.15300000000000002"/>
    <n v="0"/>
  </r>
  <r>
    <n v="217"/>
    <s v="Herstellung"/>
    <x v="4"/>
    <x v="0"/>
    <x v="0"/>
    <x v="1"/>
    <x v="0"/>
    <x v="0"/>
    <s v="Primärpackmittel: Deckel"/>
    <s v="Honigerzeugergemeinschaft Süddeutschland w.V. / HEG Imker Shop GmbH  "/>
    <x v="1"/>
    <n v="26"/>
    <s v="VE"/>
    <m/>
    <n v="1"/>
    <m/>
    <n v="0.13"/>
    <m/>
    <n v="236.6"/>
    <n v="9.1"/>
    <n v="0.26"/>
    <n v="0.13"/>
    <n v="0"/>
  </r>
  <r>
    <n v="218"/>
    <s v="Herstellung"/>
    <x v="4"/>
    <x v="0"/>
    <x v="0"/>
    <x v="1"/>
    <x v="0"/>
    <x v="0"/>
    <s v="Primärpackmittel: Deckeleinlage"/>
    <s v="Honigerzeugergemeinschaft Süddeutschland w.V. / HEG Imker Shop GmbH  "/>
    <x v="1"/>
    <n v="26"/>
    <s v="VE"/>
    <m/>
    <n v="1"/>
    <m/>
    <n v="3.0333333333333334E-2"/>
    <m/>
    <n v="55.206666666666671"/>
    <n v="2.1233333333333335"/>
    <n v="6.0666666666666674E-2"/>
    <n v="3.0333333333333337E-2"/>
    <n v="0"/>
  </r>
  <r>
    <n v="219"/>
    <s v="Herstellung"/>
    <x v="4"/>
    <x v="0"/>
    <x v="0"/>
    <x v="1"/>
    <x v="0"/>
    <x v="0"/>
    <s v="Primärpackmittel: Gewährstreifen"/>
    <s v="DIB selbstklebend auf Bogen https://deutscherimkerbund.de/wp-content/uploads/2025/07/gewahrverschlussvarianten-und-preise-2025-07.pdf"/>
    <x v="1"/>
    <n v="26"/>
    <s v="VE"/>
    <m/>
    <n v="1"/>
    <m/>
    <n v="0.28687499999999999"/>
    <m/>
    <n v="522.11249999999995"/>
    <n v="20.081249999999997"/>
    <n v="0.57374999999999987"/>
    <n v="0.28687499999999994"/>
    <n v="0"/>
  </r>
  <r>
    <n v="220"/>
    <s v="Herstellung"/>
    <x v="4"/>
    <x v="0"/>
    <x v="0"/>
    <x v="1"/>
    <x v="1"/>
    <x v="6"/>
    <s v="Kapital und Wagnis"/>
    <s v="LfL"/>
    <x v="1"/>
    <n v="26"/>
    <s v="Betrieb"/>
    <m/>
    <n v="1267.5"/>
    <m/>
    <n v="0.03"/>
    <m/>
    <n v="38.024999999999999"/>
    <n v="1.4624999999999999"/>
    <n v="4.178571428571428E-2"/>
    <n v="2.089285714285714E-2"/>
    <n v="0"/>
  </r>
  <r>
    <n v="221"/>
    <s v="Herstellung"/>
    <x v="4"/>
    <x v="0"/>
    <x v="0"/>
    <x v="1"/>
    <x v="1"/>
    <x v="5"/>
    <s v="Raumkosten"/>
    <s v="https://www.iwkoeln.de/fileadmin/user_upload/Studien/Gutachten/PDF/2023/IWIP_Gutachten_Industrieimmobilien.pdf"/>
    <x v="2"/>
    <n v="71"/>
    <s v="Betrieb"/>
    <n v="1"/>
    <n v="35"/>
    <m/>
    <n v="6.9150000000000009"/>
    <m/>
    <n v="2904.3"/>
    <n v="40.905633802816901"/>
    <n v="1.1687323943661971"/>
    <n v="0.58436619718309857"/>
    <n v="0"/>
  </r>
  <r>
    <n v="222"/>
    <s v="Herstellung"/>
    <x v="4"/>
    <x v="0"/>
    <x v="0"/>
    <x v="1"/>
    <x v="1"/>
    <x v="5"/>
    <s v="Raumnebenkosten (Strom, Wasser, Heizung)"/>
    <s v="https://www.iwkoeln.de/fileadmin/user_upload/Studien/Gutachten/PDF/2023/IWIP_Gutachten_Industrieimmobilien.pdf"/>
    <x v="2"/>
    <n v="71"/>
    <s v="Betrieb"/>
    <n v="1"/>
    <n v="35"/>
    <m/>
    <n v="0.13830000000000003"/>
    <m/>
    <n v="58.086000000000013"/>
    <n v="0.81811267605633819"/>
    <n v="2.3374647887323949E-2"/>
    <n v="1.1687323943661974E-2"/>
    <n v="0"/>
  </r>
  <r>
    <n v="223"/>
    <s v="Herstellung"/>
    <x v="4"/>
    <x v="0"/>
    <x v="0"/>
    <x v="1"/>
    <x v="1"/>
    <x v="1"/>
    <s v="Technik inkl. Waage geeicht"/>
    <m/>
    <x v="2"/>
    <n v="71"/>
    <s v="Betrieb"/>
    <n v="15"/>
    <m/>
    <m/>
    <m/>
    <n v="10512"/>
    <n v="700.8"/>
    <n v="9.8704225352112669"/>
    <n v="0.28201207243460763"/>
    <n v="0.14100603621730382"/>
    <n v="148.05633802816902"/>
  </r>
  <r>
    <n v="224"/>
    <s v="Herstellung"/>
    <x v="4"/>
    <x v="0"/>
    <x v="0"/>
    <x v="1"/>
    <x v="0"/>
    <x v="7"/>
    <s v="Eichung Waage"/>
    <m/>
    <x v="2"/>
    <n v="71"/>
    <s v="Betrieb"/>
    <m/>
    <n v="0.5"/>
    <m/>
    <n v="113.92000000000002"/>
    <m/>
    <n v="56.960000000000008"/>
    <n v="0.80225352112676063"/>
    <n v="2.2921529175050304E-2"/>
    <n v="1.1460764587525152E-2"/>
    <n v="0"/>
  </r>
  <r>
    <n v="225"/>
    <s v="Herstellung"/>
    <x v="4"/>
    <x v="0"/>
    <x v="0"/>
    <x v="1"/>
    <x v="1"/>
    <x v="2"/>
    <s v="Anwärmen/Rühren/Abfüllen/Etikettieren"/>
    <m/>
    <x v="2"/>
    <n v="71"/>
    <s v="Glas"/>
    <n v="1"/>
    <n v="4970"/>
    <n v="1.2"/>
    <n v="14"/>
    <m/>
    <n v="1391.6000000000001"/>
    <n v="19.600000000000001"/>
    <n v="0.56000000000000005"/>
    <n v="0.28000000000000003"/>
    <n v="0"/>
  </r>
  <r>
    <n v="226"/>
    <s v="Herstellung"/>
    <x v="4"/>
    <x v="0"/>
    <x v="0"/>
    <x v="1"/>
    <x v="0"/>
    <x v="0"/>
    <s v="Strom"/>
    <s v="LWG/IBI SofortabfüllenvsLagergebinde: 0,2 kWh/kg Honig"/>
    <x v="2"/>
    <n v="71"/>
    <s v="Betrieb"/>
    <n v="1"/>
    <n v="0.2"/>
    <m/>
    <n v="0.4"/>
    <m/>
    <n v="198.80000000000004"/>
    <n v="2.8000000000000007"/>
    <n v="8.0000000000000016E-2"/>
    <n v="4.0000000000000008E-2"/>
    <n v="0"/>
  </r>
  <r>
    <n v="227"/>
    <s v="Herstellung"/>
    <x v="4"/>
    <x v="0"/>
    <x v="0"/>
    <x v="1"/>
    <x v="0"/>
    <x v="0"/>
    <s v="Primärpackmittel: Glas Erstausstattung"/>
    <m/>
    <x v="2"/>
    <n v="71"/>
    <s v="Betrieb"/>
    <n v="10"/>
    <n v="4970"/>
    <m/>
    <n v="0.51"/>
    <m/>
    <n v="253.46999999999997"/>
    <n v="3.5699999999999994"/>
    <n v="0.10199999999999998"/>
    <n v="5.099999999999999E-2"/>
    <n v="0"/>
  </r>
  <r>
    <n v="228"/>
    <s v="Herstellung"/>
    <x v="4"/>
    <x v="0"/>
    <x v="0"/>
    <x v="1"/>
    <x v="0"/>
    <x v="0"/>
    <s v="Primärpackmittel: Glas Ersatzbeschaffung"/>
    <s v="Honigerzeugergemeinschaft Süddeutschland w.V. / HEG Imker Shop GmbH  "/>
    <x v="2"/>
    <n v="71"/>
    <s v="Betrieb"/>
    <m/>
    <n v="1491.0000000000002"/>
    <m/>
    <n v="0.51"/>
    <m/>
    <n v="760.41000000000008"/>
    <n v="10.71"/>
    <n v="0.30600000000000005"/>
    <n v="0.15300000000000002"/>
    <n v="0"/>
  </r>
  <r>
    <n v="229"/>
    <s v="Herstellung"/>
    <x v="4"/>
    <x v="0"/>
    <x v="0"/>
    <x v="1"/>
    <x v="0"/>
    <x v="0"/>
    <s v="Primärpackmittel: Deckel"/>
    <s v="Honigerzeugergemeinschaft Süddeutschland w.V. / HEG Imker Shop GmbH  "/>
    <x v="2"/>
    <n v="71"/>
    <s v="VE"/>
    <m/>
    <n v="1"/>
    <m/>
    <n v="0.13"/>
    <m/>
    <n v="646.1"/>
    <n v="9.1"/>
    <n v="0.26"/>
    <n v="0.13"/>
    <n v="0"/>
  </r>
  <r>
    <n v="230"/>
    <s v="Herstellung"/>
    <x v="4"/>
    <x v="0"/>
    <x v="0"/>
    <x v="1"/>
    <x v="0"/>
    <x v="0"/>
    <s v="Primärpackmittel: Deckeleinlage"/>
    <s v="Honigerzeugergemeinschaft Süddeutschland w.V. / HEG Imker Shop GmbH  "/>
    <x v="2"/>
    <n v="71"/>
    <s v="VE"/>
    <m/>
    <n v="1"/>
    <m/>
    <n v="3.0333333333333334E-2"/>
    <m/>
    <n v="150.75666666666666"/>
    <n v="2.1233333333333331"/>
    <n v="6.066666666666666E-2"/>
    <n v="3.033333333333333E-2"/>
    <n v="0"/>
  </r>
  <r>
    <n v="231"/>
    <s v="Herstellung"/>
    <x v="4"/>
    <x v="0"/>
    <x v="0"/>
    <x v="1"/>
    <x v="0"/>
    <x v="0"/>
    <s v="Primärpackmittel: Gewährstreifen"/>
    <s v="DIB selbstklebend auf Bogen https://deutscherimkerbund.de/wp-content/uploads/2025/07/gewahrverschlussvarianten-und-preise-2025-07.pdf"/>
    <x v="2"/>
    <n v="71"/>
    <s v="VE"/>
    <m/>
    <n v="1"/>
    <m/>
    <n v="0.28687499999999999"/>
    <m/>
    <n v="1425.76875"/>
    <n v="20.081250000000001"/>
    <n v="0.57374999999999998"/>
    <n v="0.28687499999999999"/>
    <n v="0"/>
  </r>
  <r>
    <n v="232"/>
    <s v="Herstellung"/>
    <x v="4"/>
    <x v="0"/>
    <x v="0"/>
    <x v="1"/>
    <x v="1"/>
    <x v="6"/>
    <s v="Kapital und Wagnis"/>
    <s v="LfL"/>
    <x v="2"/>
    <n v="71"/>
    <s v="Betrieb"/>
    <m/>
    <n v="5256"/>
    <m/>
    <n v="0.03"/>
    <m/>
    <n v="157.68"/>
    <n v="2.2208450704225351"/>
    <n v="6.3452716297786718E-2"/>
    <n v="3.1726358148893359E-2"/>
    <n v="0"/>
  </r>
  <r>
    <n v="233"/>
    <s v="Herstellung"/>
    <x v="4"/>
    <x v="0"/>
    <x v="0"/>
    <x v="1"/>
    <x v="1"/>
    <x v="5"/>
    <s v="Raumkosten"/>
    <s v="https://www.iwkoeln.de/fileadmin/user_upload/Studien/Gutachten/PDF/2023/IWIP_Gutachten_Industrieimmobilien.pdf"/>
    <x v="3"/>
    <n v="150"/>
    <s v="Betrieb"/>
    <n v="1"/>
    <n v="50"/>
    <m/>
    <n v="6.9150000000000009"/>
    <m/>
    <n v="4149.0000000000009"/>
    <n v="27.660000000000007"/>
    <n v="0.79028571428571448"/>
    <n v="0.39514285714285724"/>
    <n v="0"/>
  </r>
  <r>
    <n v="234"/>
    <s v="Herstellung"/>
    <x v="4"/>
    <x v="0"/>
    <x v="0"/>
    <x v="1"/>
    <x v="1"/>
    <x v="5"/>
    <s v="Raumnebenkosten (Strom, Wasser, Heizung)"/>
    <s v="https://www.iwkoeln.de/fileadmin/user_upload/Studien/Gutachten/PDF/2023/IWIP_Gutachten_Industrieimmobilien.pdf"/>
    <x v="3"/>
    <n v="150"/>
    <s v="Betrieb"/>
    <n v="1"/>
    <n v="50"/>
    <m/>
    <n v="0.13830000000000003"/>
    <m/>
    <n v="82.980000000000018"/>
    <n v="0.55320000000000014"/>
    <n v="1.5805714285714291E-2"/>
    <n v="7.9028571428571455E-3"/>
    <n v="0"/>
  </r>
  <r>
    <n v="235"/>
    <s v="Herstellung"/>
    <x v="4"/>
    <x v="0"/>
    <x v="0"/>
    <x v="1"/>
    <x v="1"/>
    <x v="1"/>
    <s v="Technik inkl. Waage geeicht"/>
    <m/>
    <x v="3"/>
    <n v="150"/>
    <s v="Betrieb"/>
    <n v="15"/>
    <m/>
    <m/>
    <m/>
    <n v="22714"/>
    <n v="1514.2666666666667"/>
    <n v="10.095111111111111"/>
    <n v="0.28843174603174604"/>
    <n v="0.14421587301587302"/>
    <n v="151.42666666666668"/>
  </r>
  <r>
    <n v="236"/>
    <s v="Herstellung"/>
    <x v="4"/>
    <x v="0"/>
    <x v="0"/>
    <x v="1"/>
    <x v="0"/>
    <x v="7"/>
    <s v="Eichung Waage"/>
    <m/>
    <x v="3"/>
    <n v="150"/>
    <s v="Betrieb"/>
    <m/>
    <n v="0.5"/>
    <m/>
    <n v="113.92000000000002"/>
    <m/>
    <n v="56.960000000000008"/>
    <n v="0.37973333333333337"/>
    <n v="1.0849523809523811E-2"/>
    <n v="5.4247619047619053E-3"/>
    <n v="0"/>
  </r>
  <r>
    <n v="237"/>
    <s v="Herstellung"/>
    <x v="4"/>
    <x v="0"/>
    <x v="0"/>
    <x v="1"/>
    <x v="1"/>
    <x v="2"/>
    <s v="Anwärmen/Rühren/Abfüllen/Etikettieren"/>
    <m/>
    <x v="3"/>
    <n v="150"/>
    <s v="Glas"/>
    <n v="1"/>
    <n v="10500"/>
    <n v="0.9"/>
    <n v="14"/>
    <m/>
    <n v="2205"/>
    <n v="14.7"/>
    <n v="0.42"/>
    <n v="0.21"/>
    <n v="0"/>
  </r>
  <r>
    <n v="238"/>
    <s v="Herstellung"/>
    <x v="4"/>
    <x v="0"/>
    <x v="0"/>
    <x v="1"/>
    <x v="0"/>
    <x v="0"/>
    <s v="Strom"/>
    <s v="LWG/IBI SofortabfüllenvsLagergebinde: 0,2 kWh/kg Honig"/>
    <x v="3"/>
    <n v="150"/>
    <s v="Betrieb"/>
    <n v="1"/>
    <n v="0.2"/>
    <m/>
    <n v="0.4"/>
    <m/>
    <n v="420.00000000000006"/>
    <n v="2.8000000000000003"/>
    <n v="0.08"/>
    <n v="0.04"/>
    <n v="0"/>
  </r>
  <r>
    <n v="239"/>
    <s v="Herstellung"/>
    <x v="4"/>
    <x v="0"/>
    <x v="0"/>
    <x v="1"/>
    <x v="0"/>
    <x v="0"/>
    <s v="Primärpackmittel: Glas Erstausstattung"/>
    <m/>
    <x v="3"/>
    <n v="150"/>
    <s v="Betrieb"/>
    <n v="10"/>
    <n v="10500"/>
    <m/>
    <n v="0.51"/>
    <m/>
    <n v="535.5"/>
    <n v="3.57"/>
    <n v="0.10199999999999999"/>
    <n v="5.0999999999999997E-2"/>
    <n v="0"/>
  </r>
  <r>
    <n v="240"/>
    <s v="Herstellung"/>
    <x v="4"/>
    <x v="0"/>
    <x v="0"/>
    <x v="1"/>
    <x v="0"/>
    <x v="0"/>
    <s v="Primärpackmittel: Glas Ersatzbeschaffung"/>
    <s v="Honigerzeugergemeinschaft Süddeutschland w.V. / HEG Imker Shop GmbH  "/>
    <x v="3"/>
    <n v="150"/>
    <s v="Betrieb"/>
    <m/>
    <n v="3150.0000000000005"/>
    <m/>
    <n v="0.51"/>
    <m/>
    <n v="1606.5000000000002"/>
    <n v="10.71"/>
    <n v="0.30600000000000005"/>
    <n v="0.15300000000000002"/>
    <n v="0"/>
  </r>
  <r>
    <n v="241"/>
    <s v="Herstellung"/>
    <x v="4"/>
    <x v="0"/>
    <x v="0"/>
    <x v="1"/>
    <x v="0"/>
    <x v="0"/>
    <s v="Primärpackmittel: Deckel"/>
    <s v="Honigerzeugergemeinschaft Süddeutschland w.V. / HEG Imker Shop GmbH  "/>
    <x v="3"/>
    <n v="150"/>
    <s v="VE"/>
    <m/>
    <n v="1"/>
    <m/>
    <n v="0.13"/>
    <m/>
    <n v="1365"/>
    <n v="9.1"/>
    <n v="0.26"/>
    <n v="0.13"/>
    <n v="0"/>
  </r>
  <r>
    <n v="242"/>
    <s v="Herstellung"/>
    <x v="4"/>
    <x v="0"/>
    <x v="0"/>
    <x v="1"/>
    <x v="0"/>
    <x v="0"/>
    <s v="Primärpackmittel: Deckeleinlage"/>
    <s v="Honigerzeugergemeinschaft Süddeutschland w.V. / HEG Imker Shop GmbH  "/>
    <x v="3"/>
    <n v="150"/>
    <s v="VE"/>
    <m/>
    <n v="1"/>
    <m/>
    <n v="3.0333333333333334E-2"/>
    <m/>
    <n v="318.5"/>
    <n v="2.1233333333333335"/>
    <n v="6.0666666666666674E-2"/>
    <n v="3.0333333333333337E-2"/>
    <n v="0"/>
  </r>
  <r>
    <n v="243"/>
    <s v="Herstellung"/>
    <x v="4"/>
    <x v="0"/>
    <x v="0"/>
    <x v="1"/>
    <x v="0"/>
    <x v="0"/>
    <s v="Primärpackmittel: Gewährstreifen"/>
    <s v="DIB selbstklebend auf Bogen https://deutscherimkerbund.de/wp-content/uploads/2025/07/gewahrverschlussvarianten-und-preise-2025-07.pdf"/>
    <x v="3"/>
    <n v="150"/>
    <s v="VE"/>
    <m/>
    <n v="1"/>
    <m/>
    <n v="0.28687499999999999"/>
    <m/>
    <n v="3012.1875"/>
    <n v="20.081250000000001"/>
    <n v="0.57374999999999998"/>
    <n v="0.28687499999999999"/>
    <n v="0"/>
  </r>
  <r>
    <n v="244"/>
    <s v="Herstellung"/>
    <x v="4"/>
    <x v="0"/>
    <x v="0"/>
    <x v="1"/>
    <x v="1"/>
    <x v="6"/>
    <s v="Kapital und Wagnis"/>
    <s v="LfL"/>
    <x v="3"/>
    <n v="150"/>
    <s v="Betrieb"/>
    <m/>
    <n v="11357"/>
    <m/>
    <n v="0.03"/>
    <m/>
    <n v="340.71"/>
    <n v="2.2713999999999999"/>
    <n v="6.4897142857142848E-2"/>
    <n v="3.2448571428571424E-2"/>
    <n v="0"/>
  </r>
  <r>
    <n v="245"/>
    <s v="Herstellung"/>
    <x v="4"/>
    <x v="0"/>
    <x v="0"/>
    <x v="1"/>
    <x v="0"/>
    <x v="7"/>
    <s v="Verpackungsentsorgung"/>
    <s v=" https://recycling-dual.de/kalkulator/ Glas+Kunststoffdeckel+ Pappe"/>
    <x v="0"/>
    <n v="6"/>
    <m/>
    <m/>
    <m/>
    <m/>
    <n v="0"/>
    <m/>
    <n v="0"/>
    <n v="0"/>
    <n v="0"/>
    <n v="0"/>
    <n v="0"/>
  </r>
  <r>
    <n v="246"/>
    <s v="Herstellung"/>
    <x v="4"/>
    <x v="0"/>
    <x v="0"/>
    <x v="1"/>
    <x v="0"/>
    <x v="7"/>
    <s v="Verpackungsentsorgung"/>
    <s v=" https://recycling-dual.de/kalkulator/ Glas+Kunststoffdeckel+ Pappe"/>
    <x v="1"/>
    <n v="26"/>
    <m/>
    <m/>
    <m/>
    <m/>
    <n v="0"/>
    <m/>
    <n v="0"/>
    <n v="0"/>
    <n v="0"/>
    <n v="0"/>
    <n v="0"/>
  </r>
  <r>
    <n v="247"/>
    <s v="Herstellung"/>
    <x v="4"/>
    <x v="0"/>
    <x v="0"/>
    <x v="1"/>
    <x v="0"/>
    <x v="7"/>
    <s v="Verpackungsentsorgung"/>
    <s v=" https://recycling-dual.de/kalkulator/ Glas+Kunststoffdeckel+ Pappe"/>
    <x v="2"/>
    <n v="71"/>
    <s v="Glas"/>
    <m/>
    <m/>
    <m/>
    <n v="4.4208740000000003E-2"/>
    <m/>
    <n v="65.91523134000002"/>
    <n v="0.92838354000000023"/>
    <n v="2.6525244000000007E-2"/>
    <n v="1.3262622000000003E-2"/>
    <n v="0"/>
  </r>
  <r>
    <n v="248"/>
    <s v="Herstellung"/>
    <x v="4"/>
    <x v="0"/>
    <x v="0"/>
    <x v="1"/>
    <x v="0"/>
    <x v="7"/>
    <s v="Verpackungsentsorgung"/>
    <s v=" https://recycling-dual.de/kalkulator/ Glas+Kunststoffdeckel+ Pappe"/>
    <x v="3"/>
    <n v="150"/>
    <s v="Glas"/>
    <m/>
    <m/>
    <m/>
    <n v="4.4208740000000003E-2"/>
    <m/>
    <n v="139.25753100000003"/>
    <n v="0.92838354000000023"/>
    <n v="2.6525244000000007E-2"/>
    <n v="1.3262622000000003E-2"/>
    <n v="0"/>
  </r>
  <r>
    <n v="249"/>
    <s v="Herstellung"/>
    <x v="5"/>
    <x v="0"/>
    <x v="0"/>
    <x v="0"/>
    <x v="1"/>
    <x v="2"/>
    <s v="Betriebs-/Personal- /Prozesshygiene"/>
    <s v="2 x Schleudern und 4 x Abfüllen Raumreinigung"/>
    <x v="0"/>
    <n v="6"/>
    <s v="Raumnutzung Lebensmittel"/>
    <m/>
    <n v="6"/>
    <n v="45"/>
    <n v="14"/>
    <m/>
    <n v="63"/>
    <n v="10.5"/>
    <n v="0.3"/>
    <n v="0.15"/>
    <n v="0"/>
  </r>
  <r>
    <n v="250"/>
    <s v="Herstellung"/>
    <x v="5"/>
    <x v="0"/>
    <x v="0"/>
    <x v="0"/>
    <x v="1"/>
    <x v="4"/>
    <s v="Sozialversicherung"/>
    <s v="https://www.destatis.de/DE/Themen/Arbeit/Arbeitskosten-Lohnnebenkosten/Tabellen/lohnkosten-deutschland.html"/>
    <x v="0"/>
    <n v="6"/>
    <s v="Betrieb"/>
    <m/>
    <m/>
    <m/>
    <n v="0.28999999999999998"/>
    <m/>
    <n v="18.27"/>
    <n v="3.0449999999999999"/>
    <n v="8.6999999999999994E-2"/>
    <n v="4.3499999999999997E-2"/>
    <n v="0"/>
  </r>
  <r>
    <n v="251"/>
    <s v="Herstellung"/>
    <x v="5"/>
    <x v="0"/>
    <x v="0"/>
    <x v="0"/>
    <x v="1"/>
    <x v="0"/>
    <s v="Reinigungsmittel / -geräte"/>
    <m/>
    <x v="0"/>
    <n v="6"/>
    <s v="Raumnutzung Lebensmittel"/>
    <m/>
    <n v="1"/>
    <m/>
    <n v="10"/>
    <m/>
    <n v="10"/>
    <n v="1.6666666666666667"/>
    <n v="4.7619047619047623E-2"/>
    <n v="2.3809523809523812E-2"/>
    <n v="0"/>
  </r>
  <r>
    <n v="252"/>
    <s v="Herstellung"/>
    <x v="5"/>
    <x v="0"/>
    <x v="0"/>
    <x v="0"/>
    <x v="1"/>
    <x v="2"/>
    <s v="Betriebs-/Personal- /Prozesshygiene"/>
    <s v="2 x Schleudern und 4 x Abfüllen Raumreinigung"/>
    <x v="1"/>
    <n v="26"/>
    <s v="Raumnutzung Lebensmittel"/>
    <m/>
    <n v="6"/>
    <n v="60"/>
    <n v="14"/>
    <m/>
    <n v="84"/>
    <n v="3.2307692307692308"/>
    <n v="9.2307692307692313E-2"/>
    <n v="4.6153846153846156E-2"/>
    <n v="0"/>
  </r>
  <r>
    <n v="253"/>
    <s v="Herstellung"/>
    <x v="5"/>
    <x v="0"/>
    <x v="0"/>
    <x v="0"/>
    <x v="1"/>
    <x v="4"/>
    <s v="Sozialversicherung"/>
    <s v="https://www.destatis.de/DE/Themen/Arbeit/Arbeitskosten-Lohnnebenkosten/Tabellen/lohnkosten-deutschland.html"/>
    <x v="1"/>
    <n v="26"/>
    <s v="Betrieb"/>
    <m/>
    <m/>
    <m/>
    <n v="0.28999999999999998"/>
    <m/>
    <n v="24.36"/>
    <n v="0.93692307692307686"/>
    <n v="2.6769230769230767E-2"/>
    <n v="1.3384615384615384E-2"/>
    <n v="0"/>
  </r>
  <r>
    <n v="254"/>
    <s v="Herstellung"/>
    <x v="5"/>
    <x v="0"/>
    <x v="0"/>
    <x v="0"/>
    <x v="1"/>
    <x v="0"/>
    <s v="Reinigungsmittel / -geräte"/>
    <m/>
    <x v="1"/>
    <n v="26"/>
    <s v="Raumnutzung Lebensmittel"/>
    <m/>
    <n v="1"/>
    <m/>
    <n v="25"/>
    <m/>
    <n v="25"/>
    <n v="0.96153846153846156"/>
    <n v="2.7472527472527472E-2"/>
    <n v="1.3736263736263736E-2"/>
    <n v="0"/>
  </r>
  <r>
    <n v="255"/>
    <s v="Herstellung"/>
    <x v="5"/>
    <x v="0"/>
    <x v="0"/>
    <x v="0"/>
    <x v="1"/>
    <x v="2"/>
    <s v="Betriebs-/Personal- /Prozesshygiene"/>
    <s v="2 x Schleudern und 4 x Abfüllen Raumreinigung"/>
    <x v="2"/>
    <n v="71"/>
    <s v="Raumnutzung Lebensmittel"/>
    <m/>
    <n v="6"/>
    <n v="120"/>
    <n v="14"/>
    <m/>
    <n v="168"/>
    <n v="2.3661971830985915"/>
    <n v="6.7605633802816895E-2"/>
    <n v="3.3802816901408447E-2"/>
    <n v="0"/>
  </r>
  <r>
    <n v="256"/>
    <s v="Herstellung"/>
    <x v="5"/>
    <x v="0"/>
    <x v="0"/>
    <x v="0"/>
    <x v="1"/>
    <x v="4"/>
    <s v="Sozialversicherung"/>
    <s v="https://www.destatis.de/DE/Themen/Arbeit/Arbeitskosten-Lohnnebenkosten/Tabellen/lohnkosten-deutschland.html"/>
    <x v="2"/>
    <n v="71"/>
    <s v="Betrieb"/>
    <m/>
    <m/>
    <m/>
    <n v="0.28999999999999998"/>
    <m/>
    <n v="48.72"/>
    <n v="0.68619718309859157"/>
    <n v="1.9605633802816901E-2"/>
    <n v="9.8028169014084503E-3"/>
    <n v="0"/>
  </r>
  <r>
    <n v="257"/>
    <s v="Herstellung"/>
    <x v="5"/>
    <x v="0"/>
    <x v="0"/>
    <x v="0"/>
    <x v="1"/>
    <x v="0"/>
    <s v="Reinigungsmittel / -geräte"/>
    <m/>
    <x v="2"/>
    <n v="71"/>
    <s v="Raumnutzung Lebensmittel"/>
    <m/>
    <n v="1"/>
    <m/>
    <n v="40"/>
    <m/>
    <n v="40"/>
    <n v="0.56338028169014087"/>
    <n v="1.6096579476861168E-2"/>
    <n v="8.0482897384305842E-3"/>
    <n v="0"/>
  </r>
  <r>
    <n v="258"/>
    <s v="Herstellung"/>
    <x v="5"/>
    <x v="0"/>
    <x v="0"/>
    <x v="0"/>
    <x v="1"/>
    <x v="2"/>
    <s v="Betriebs-/Personal- /Prozesshygiene"/>
    <s v="2 x Schleudern und 4 x Abfüllen Raumreinigung"/>
    <x v="3"/>
    <n v="150"/>
    <s v="Raumnutzung Lebensmittel"/>
    <m/>
    <n v="6"/>
    <n v="180"/>
    <n v="14"/>
    <m/>
    <n v="252"/>
    <n v="1.68"/>
    <n v="4.8000000000000001E-2"/>
    <n v="2.4E-2"/>
    <n v="0"/>
  </r>
  <r>
    <n v="259"/>
    <s v="Herstellung"/>
    <x v="5"/>
    <x v="0"/>
    <x v="0"/>
    <x v="0"/>
    <x v="1"/>
    <x v="4"/>
    <s v="Sozialversicherung"/>
    <s v="https://www.destatis.de/DE/Themen/Arbeit/Arbeitskosten-Lohnnebenkosten/Tabellen/lohnkosten-deutschland.html"/>
    <x v="3"/>
    <n v="150"/>
    <s v="Betrieb"/>
    <m/>
    <m/>
    <m/>
    <n v="0.28999999999999998"/>
    <m/>
    <n v="73.08"/>
    <n v="0.48719999999999997"/>
    <n v="1.3919999999999998E-2"/>
    <n v="6.9599999999999992E-3"/>
    <n v="0"/>
  </r>
  <r>
    <n v="260"/>
    <s v="Herstellung"/>
    <x v="5"/>
    <x v="0"/>
    <x v="0"/>
    <x v="0"/>
    <x v="1"/>
    <x v="0"/>
    <s v="Reinigungsmittel / -geräte"/>
    <m/>
    <x v="3"/>
    <n v="150"/>
    <s v="Raumnutzung Lebensmittel"/>
    <m/>
    <n v="1"/>
    <m/>
    <n v="70"/>
    <m/>
    <n v="70"/>
    <n v="0.46666666666666667"/>
    <n v="1.3333333333333334E-2"/>
    <n v="6.6666666666666671E-3"/>
    <n v="0"/>
  </r>
  <r>
    <n v="261"/>
    <s v="Gemeinkosten"/>
    <x v="6"/>
    <x v="0"/>
    <x v="0"/>
    <x v="0"/>
    <x v="0"/>
    <x v="9"/>
    <s v="Imkerliche Unfallversicherung"/>
    <s v="z.B. LVBI ERGO"/>
    <x v="0"/>
    <n v="6"/>
    <s v="Betrieb"/>
    <m/>
    <n v="1"/>
    <m/>
    <n v="6.2"/>
    <m/>
    <n v="6.2"/>
    <n v="1.0333333333333334"/>
    <n v="2.9523809523809525E-2"/>
    <n v="1.4761904761904763E-2"/>
    <n v="0"/>
  </r>
  <r>
    <n v="262"/>
    <s v="Gemeinkosten"/>
    <x v="6"/>
    <x v="0"/>
    <x v="0"/>
    <x v="0"/>
    <x v="0"/>
    <x v="4"/>
    <s v="Unfallversicherung SVLFG Grund- und Risikobertrag"/>
    <m/>
    <x v="1"/>
    <n v="26"/>
    <s v="Betrieb"/>
    <m/>
    <n v="1"/>
    <m/>
    <n v="146.69999999999999"/>
    <m/>
    <n v="146.69999999999999"/>
    <n v="5.6423076923076918"/>
    <n v="0.1612087912087912"/>
    <n v="8.0604395604395598E-2"/>
    <n v="0"/>
  </r>
  <r>
    <n v="263"/>
    <s v="Gemeinkosten"/>
    <x v="6"/>
    <x v="0"/>
    <x v="0"/>
    <x v="0"/>
    <x v="0"/>
    <x v="4"/>
    <s v="Unfallversicherung SVLFG Grund- und Risikobertrag"/>
    <m/>
    <x v="2"/>
    <n v="71"/>
    <s v="Betrieb"/>
    <m/>
    <n v="1"/>
    <m/>
    <n v="245.21"/>
    <m/>
    <n v="245.21"/>
    <n v="3.4536619718309862"/>
    <n v="9.8676056338028173E-2"/>
    <n v="4.9338028169014086E-2"/>
    <n v="0"/>
  </r>
  <r>
    <n v="264"/>
    <s v="Gemeinkosten"/>
    <x v="6"/>
    <x v="0"/>
    <x v="0"/>
    <x v="0"/>
    <x v="0"/>
    <x v="4"/>
    <s v="Unfallversicherung SVLFG Grund- und Risikobertrag"/>
    <m/>
    <x v="3"/>
    <n v="150"/>
    <s v="Betrieb"/>
    <m/>
    <n v="1"/>
    <m/>
    <n v="418.16"/>
    <m/>
    <n v="418.16"/>
    <n v="2.7877333333333336"/>
    <n v="7.9649523809523823E-2"/>
    <n v="3.9824761904761911E-2"/>
    <n v="0"/>
  </r>
  <r>
    <n v="265"/>
    <s v="Gemeinkosten"/>
    <x v="6"/>
    <x v="0"/>
    <x v="0"/>
    <x v="0"/>
    <x v="0"/>
    <x v="9"/>
    <s v="Tierseuchenkasse (abhängig von Bundesland)"/>
    <s v="je nach Bundesland unterschiedlich"/>
    <x v="0"/>
    <n v="6"/>
    <s v="Betrieb"/>
    <m/>
    <m/>
    <m/>
    <m/>
    <m/>
    <m/>
    <n v="0"/>
    <m/>
    <m/>
    <n v="0"/>
  </r>
  <r>
    <n v="266"/>
    <s v="Gemeinkosten"/>
    <x v="6"/>
    <x v="0"/>
    <x v="0"/>
    <x v="0"/>
    <x v="0"/>
    <x v="9"/>
    <s v="Tierseuchenkasse (abhängig von Bundesland)"/>
    <s v="je nach Bundesland unterschiedlich"/>
    <x v="1"/>
    <n v="26"/>
    <s v="Betrieb"/>
    <m/>
    <m/>
    <m/>
    <m/>
    <m/>
    <m/>
    <n v="0"/>
    <m/>
    <m/>
    <n v="0"/>
  </r>
  <r>
    <n v="267"/>
    <s v="Gemeinkosten"/>
    <x v="6"/>
    <x v="0"/>
    <x v="0"/>
    <x v="0"/>
    <x v="0"/>
    <x v="9"/>
    <s v="Tierseuchenkasse (abhängig von Bundesland)"/>
    <s v="je nach Bundesland unterschiedlich"/>
    <x v="2"/>
    <n v="71"/>
    <s v="Betrieb"/>
    <m/>
    <m/>
    <m/>
    <m/>
    <m/>
    <m/>
    <n v="0"/>
    <m/>
    <m/>
    <n v="0"/>
  </r>
  <r>
    <n v="268"/>
    <s v="Gemeinkosten"/>
    <x v="6"/>
    <x v="0"/>
    <x v="0"/>
    <x v="0"/>
    <x v="0"/>
    <x v="9"/>
    <s v="Tierseuchenkasse (abhängig von Bundesland)"/>
    <s v="je nach Bundesland unterschiedlich"/>
    <x v="3"/>
    <n v="150"/>
    <s v="Betrieb"/>
    <m/>
    <m/>
    <m/>
    <m/>
    <m/>
    <m/>
    <n v="0"/>
    <m/>
    <m/>
    <n v="0"/>
  </r>
  <r>
    <n v="269"/>
    <s v="Gemeinkosten"/>
    <x v="6"/>
    <x v="0"/>
    <x v="0"/>
    <x v="0"/>
    <x v="0"/>
    <x v="9"/>
    <s v="Sachversicherung imkerliches Inventar "/>
    <s v="z.B. LVBI Ergänzungsversicherung Gaede&amp;Glauerdt Inventar Geräte Vorräte"/>
    <x v="0"/>
    <n v="6"/>
    <s v="Betrieb"/>
    <m/>
    <n v="1"/>
    <m/>
    <n v="20"/>
    <m/>
    <n v="20"/>
    <n v="3.3333333333333335"/>
    <n v="9.5238095238095247E-2"/>
    <n v="4.7619047619047623E-2"/>
    <n v="0"/>
  </r>
  <r>
    <n v="270"/>
    <s v="Gemeinkosten"/>
    <x v="6"/>
    <x v="0"/>
    <x v="0"/>
    <x v="0"/>
    <x v="0"/>
    <x v="9"/>
    <s v="Sachversicherung / Haftpflichtversicherung Imkerei"/>
    <s v="z.B. LVBI Versicherung Gaede&amp;Glauerdt Imker Global"/>
    <x v="0"/>
    <n v="6"/>
    <s v="Betrieb"/>
    <m/>
    <n v="1"/>
    <m/>
    <n v="11.65"/>
    <m/>
    <n v="11.65"/>
    <n v="1.9416666666666667"/>
    <n v="5.5476190476190478E-2"/>
    <n v="2.7738095238095239E-2"/>
    <n v="0"/>
  </r>
  <r>
    <n v="271"/>
    <s v="Gemeinkosten"/>
    <x v="6"/>
    <x v="0"/>
    <x v="0"/>
    <x v="0"/>
    <x v="0"/>
    <x v="9"/>
    <s v="Haftpflicht"/>
    <s v="z.B. DBIB Gaede&amp;Glauerdt Gruppe B"/>
    <x v="1"/>
    <n v="26"/>
    <s v="Betrieb"/>
    <m/>
    <n v="1"/>
    <m/>
    <n v="47.6"/>
    <m/>
    <n v="47.6"/>
    <n v="1.8307692307692309"/>
    <n v="5.2307692307692312E-2"/>
    <n v="2.6153846153846156E-2"/>
    <n v="0"/>
  </r>
  <r>
    <n v="272"/>
    <s v="Gemeinkosten"/>
    <x v="6"/>
    <x v="0"/>
    <x v="0"/>
    <x v="0"/>
    <x v="0"/>
    <x v="9"/>
    <s v="Sachversicherung imkerliches Inventar "/>
    <s v="z.B. DBIB Gaede&amp;Glauerdt Gruppe B"/>
    <x v="1"/>
    <n v="26"/>
    <s v="Betrieb"/>
    <m/>
    <n v="1"/>
    <m/>
    <n v="164.82"/>
    <m/>
    <n v="164.82"/>
    <n v="6.3392307692307686"/>
    <n v="0.1811208791208791"/>
    <n v="9.0560439560439548E-2"/>
    <n v="0"/>
  </r>
  <r>
    <n v="273"/>
    <s v="Gemeinkosten"/>
    <x v="6"/>
    <x v="0"/>
    <x v="0"/>
    <x v="0"/>
    <x v="0"/>
    <x v="9"/>
    <s v="Belegstellen"/>
    <s v="z.B. DBIB Gaede&amp;Glauerdt Gruppe B"/>
    <x v="1"/>
    <n v="26"/>
    <s v="Betrieb"/>
    <m/>
    <n v="1"/>
    <m/>
    <n v="5.96"/>
    <m/>
    <n v="5.96"/>
    <n v="0.22923076923076924"/>
    <n v="6.5494505494505494E-3"/>
    <n v="3.2747252747252747E-3"/>
    <n v="0"/>
  </r>
  <r>
    <n v="274"/>
    <s v="Gemeinkosten"/>
    <x v="6"/>
    <x v="0"/>
    <x v="0"/>
    <x v="0"/>
    <x v="0"/>
    <x v="9"/>
    <s v="Tierschäden"/>
    <s v="z.B. DBIB Gaede&amp;Glauerdt Gruppe B"/>
    <x v="1"/>
    <n v="26"/>
    <s v="Betrieb"/>
    <m/>
    <n v="1"/>
    <m/>
    <n v="36"/>
    <m/>
    <n v="36"/>
    <n v="1.3846153846153846"/>
    <n v="3.9560439560439559E-2"/>
    <n v="1.9780219780219779E-2"/>
    <n v="0"/>
  </r>
  <r>
    <n v="275"/>
    <s v="Gemeinkosten"/>
    <x v="6"/>
    <x v="0"/>
    <x v="0"/>
    <x v="0"/>
    <x v="0"/>
    <x v="9"/>
    <s v="Haftpflicht"/>
    <s v="z.B. DBIB Gaede&amp;Glauerdt Gruppe B"/>
    <x v="2"/>
    <n v="71"/>
    <s v="Betrieb"/>
    <m/>
    <n v="1"/>
    <m/>
    <n v="52.32"/>
    <m/>
    <n v="52.32"/>
    <n v="0.73690140845070418"/>
    <n v="2.1054325955734404E-2"/>
    <n v="1.0527162977867202E-2"/>
    <n v="0"/>
  </r>
  <r>
    <n v="276"/>
    <s v="Gemeinkosten"/>
    <x v="6"/>
    <x v="0"/>
    <x v="0"/>
    <x v="0"/>
    <x v="0"/>
    <x v="9"/>
    <s v="Sachversicherung imkerliches Inventar "/>
    <s v="z.B. DBIB Gaede&amp;Glauerdt Gruppe B"/>
    <x v="2"/>
    <n v="71"/>
    <s v="Betrieb"/>
    <m/>
    <n v="1"/>
    <m/>
    <n v="277.27999999999997"/>
    <m/>
    <n v="277.27999999999997"/>
    <n v="3.9053521126760558"/>
    <n v="0.11158148893360159"/>
    <n v="5.5790744466800796E-2"/>
    <n v="0"/>
  </r>
  <r>
    <n v="277"/>
    <s v="Gemeinkosten"/>
    <x v="6"/>
    <x v="0"/>
    <x v="0"/>
    <x v="0"/>
    <x v="0"/>
    <x v="9"/>
    <s v="Belegstellen"/>
    <s v="z.B. DBIB Gaede&amp;Glauerdt Gruppe B"/>
    <x v="2"/>
    <n v="71"/>
    <s v="Betrieb"/>
    <m/>
    <n v="1"/>
    <m/>
    <n v="9.52"/>
    <m/>
    <n v="9.52"/>
    <n v="0.13408450704225353"/>
    <n v="3.8309859154929578E-3"/>
    <n v="1.9154929577464791E-3"/>
    <n v="0"/>
  </r>
  <r>
    <n v="278"/>
    <s v="Gemeinkosten"/>
    <x v="6"/>
    <x v="0"/>
    <x v="0"/>
    <x v="0"/>
    <x v="0"/>
    <x v="9"/>
    <s v="Tierschäden"/>
    <s v="z.B. DBIB Gaede&amp;Glauerdt Gruppe B"/>
    <x v="2"/>
    <n v="71"/>
    <s v="Betrieb"/>
    <m/>
    <n v="1"/>
    <m/>
    <n v="50"/>
    <m/>
    <n v="50"/>
    <n v="0.70422535211267601"/>
    <n v="2.0120724346076459E-2"/>
    <n v="1.0060362173038229E-2"/>
    <n v="0"/>
  </r>
  <r>
    <n v="279"/>
    <s v="Gemeinkosten"/>
    <x v="6"/>
    <x v="0"/>
    <x v="0"/>
    <x v="0"/>
    <x v="0"/>
    <x v="9"/>
    <s v="Haftpflicht"/>
    <s v="z.B. DBIB Gaede&amp;Glauerdt Gruppe B"/>
    <x v="3"/>
    <n v="150"/>
    <s v="Betrieb"/>
    <m/>
    <n v="1"/>
    <m/>
    <n v="57.12"/>
    <m/>
    <n v="57.12"/>
    <n v="0.38079999999999997"/>
    <n v="1.0879999999999999E-2"/>
    <n v="5.4399999999999995E-3"/>
    <n v="0"/>
  </r>
  <r>
    <n v="280"/>
    <s v="Gemeinkosten"/>
    <x v="6"/>
    <x v="0"/>
    <x v="0"/>
    <x v="0"/>
    <x v="0"/>
    <x v="9"/>
    <s v="Sachversicherung imkerliches Inventar "/>
    <s v="z.B. DBIB Gaede&amp;Glauerdt Gruppe B"/>
    <x v="3"/>
    <n v="150"/>
    <s v="Betrieb"/>
    <m/>
    <n v="1"/>
    <m/>
    <n v="410.08"/>
    <m/>
    <n v="410.08"/>
    <n v="2.7338666666666667"/>
    <n v="7.8110476190476189E-2"/>
    <n v="3.9055238095238094E-2"/>
    <n v="0"/>
  </r>
  <r>
    <n v="281"/>
    <s v="Gemeinkosten"/>
    <x v="6"/>
    <x v="0"/>
    <x v="0"/>
    <x v="0"/>
    <x v="0"/>
    <x v="9"/>
    <s v="Belegstellen"/>
    <s v="z.B. DBIB Gaede&amp;Glauerdt Gruppe B"/>
    <x v="3"/>
    <n v="150"/>
    <s v="Betrieb"/>
    <m/>
    <n v="1"/>
    <m/>
    <n v="17.86"/>
    <m/>
    <n v="17.86"/>
    <n v="0.11906666666666667"/>
    <n v="3.4019047619047618E-3"/>
    <n v="1.7009523809523809E-3"/>
    <n v="0"/>
  </r>
  <r>
    <n v="282"/>
    <s v="Gemeinkosten"/>
    <x v="6"/>
    <x v="0"/>
    <x v="0"/>
    <x v="0"/>
    <x v="0"/>
    <x v="9"/>
    <s v="Tierschäden"/>
    <s v="z.B. DBIB Gaede&amp;Glauerdt Gruppe B"/>
    <x v="3"/>
    <n v="150"/>
    <s v="Betrieb"/>
    <m/>
    <n v="1"/>
    <m/>
    <n v="80"/>
    <m/>
    <n v="80"/>
    <n v="0.53333333333333333"/>
    <n v="1.5238095238095238E-2"/>
    <n v="7.619047619047619E-3"/>
    <n v="0"/>
  </r>
  <r>
    <n v="283"/>
    <s v="Gemeinkosten"/>
    <x v="6"/>
    <x v="0"/>
    <x v="0"/>
    <x v="0"/>
    <x v="0"/>
    <x v="7"/>
    <s v="DIB Grundbeitrag"/>
    <s v="DIB"/>
    <x v="0"/>
    <n v="6"/>
    <s v="Betrieb"/>
    <m/>
    <n v="1"/>
    <m/>
    <n v="3.58"/>
    <m/>
    <n v="3.58"/>
    <n v="0.59666666666666668"/>
    <n v="1.7047619047619048E-2"/>
    <n v="8.5238095238095238E-3"/>
    <n v="0"/>
  </r>
  <r>
    <n v="284"/>
    <s v="Gemeinkosten"/>
    <x v="6"/>
    <x v="0"/>
    <x v="0"/>
    <x v="0"/>
    <x v="0"/>
    <x v="7"/>
    <s v="DIB Werbebeitrag"/>
    <s v="DIB"/>
    <x v="0"/>
    <n v="6"/>
    <s v="WV"/>
    <m/>
    <n v="1"/>
    <m/>
    <n v="0.26"/>
    <m/>
    <n v="1.56"/>
    <n v="0.26"/>
    <n v="7.4285714285714285E-3"/>
    <n v="3.7142857142857142E-3"/>
    <n v="0"/>
  </r>
  <r>
    <n v="285"/>
    <s v="Gemeinkosten"/>
    <x v="6"/>
    <x v="0"/>
    <x v="0"/>
    <x v="0"/>
    <x v="0"/>
    <x v="7"/>
    <s v="Landesverband Grundbeitrag"/>
    <s v="z.B. LVBI ohne Versicherungen"/>
    <x v="0"/>
    <n v="6"/>
    <s v="Betrieb"/>
    <m/>
    <n v="1"/>
    <m/>
    <n v="14"/>
    <m/>
    <n v="14"/>
    <n v="2.3333333333333335"/>
    <n v="6.6666666666666666E-2"/>
    <n v="3.3333333333333333E-2"/>
    <n v="0"/>
  </r>
  <r>
    <n v="286"/>
    <s v="Gemeinkosten"/>
    <x v="6"/>
    <x v="0"/>
    <x v="0"/>
    <x v="0"/>
    <x v="0"/>
    <x v="7"/>
    <s v="Ortsverein Grundbeitrag"/>
    <s v="z.B. Bezirksimkerverein München"/>
    <x v="0"/>
    <n v="6"/>
    <s v="Betrieb"/>
    <m/>
    <n v="1"/>
    <m/>
    <n v="40"/>
    <m/>
    <n v="40"/>
    <n v="6.666666666666667"/>
    <n v="0.19047619047619049"/>
    <n v="9.5238095238095247E-2"/>
    <n v="0"/>
  </r>
  <r>
    <n v="287"/>
    <s v="Gemeinkosten"/>
    <x v="6"/>
    <x v="0"/>
    <x v="0"/>
    <x v="0"/>
    <x v="0"/>
    <x v="10"/>
    <s v="Fortbildung / Abo Fachzeitschrift"/>
    <s v="z.B. Bienen und Natur"/>
    <x v="0"/>
    <n v="6"/>
    <s v="Betrieb"/>
    <m/>
    <n v="1"/>
    <m/>
    <n v="66.900000000000006"/>
    <m/>
    <n v="66.900000000000006"/>
    <n v="11.15"/>
    <n v="0.31857142857142856"/>
    <n v="0.15928571428571428"/>
    <n v="0"/>
  </r>
  <r>
    <n v="288"/>
    <s v="Gemeinkosten"/>
    <x v="6"/>
    <x v="0"/>
    <x v="0"/>
    <x v="0"/>
    <x v="0"/>
    <x v="8"/>
    <s v="Steuerberatung / Buchführungskosten"/>
    <m/>
    <x v="0"/>
    <n v="6"/>
    <s v="Betrieb"/>
    <m/>
    <n v="1"/>
    <m/>
    <n v="0"/>
    <m/>
    <n v="0"/>
    <n v="0"/>
    <n v="0"/>
    <n v="0"/>
    <n v="0"/>
  </r>
  <r>
    <n v="289"/>
    <s v="Gemeinkosten"/>
    <x v="6"/>
    <x v="0"/>
    <x v="0"/>
    <x v="0"/>
    <x v="0"/>
    <x v="7"/>
    <s v="DIB Grundbeitrag"/>
    <s v="DIB"/>
    <x v="1"/>
    <n v="26"/>
    <s v="Betrieb"/>
    <m/>
    <n v="1"/>
    <m/>
    <n v="3.58"/>
    <m/>
    <n v="3.58"/>
    <n v="0.1376923076923077"/>
    <n v="3.9340659340659345E-3"/>
    <n v="1.9670329670329672E-3"/>
    <n v="0"/>
  </r>
  <r>
    <n v="290"/>
    <s v="Gemeinkosten"/>
    <x v="6"/>
    <x v="0"/>
    <x v="0"/>
    <x v="0"/>
    <x v="0"/>
    <x v="7"/>
    <s v="DIB Werbebeitrag"/>
    <s v="DIB"/>
    <x v="1"/>
    <n v="26"/>
    <s v="WV"/>
    <m/>
    <n v="1"/>
    <m/>
    <n v="0.26"/>
    <m/>
    <n v="6.76"/>
    <n v="0.26"/>
    <n v="7.4285714285714285E-3"/>
    <n v="3.7142857142857142E-3"/>
    <n v="0"/>
  </r>
  <r>
    <n v="291"/>
    <s v="Gemeinkosten"/>
    <x v="6"/>
    <x v="0"/>
    <x v="0"/>
    <x v="0"/>
    <x v="0"/>
    <x v="7"/>
    <s v="Landesverband Grundbeitrag"/>
    <s v="z.B. LVBI ohne Versicherungen"/>
    <x v="1"/>
    <n v="26"/>
    <s v="Betrieb"/>
    <m/>
    <n v="1"/>
    <m/>
    <n v="14"/>
    <m/>
    <n v="14"/>
    <n v="0.53846153846153844"/>
    <n v="1.5384615384615384E-2"/>
    <n v="7.6923076923076919E-3"/>
    <n v="0"/>
  </r>
  <r>
    <n v="292"/>
    <s v="Gemeinkosten"/>
    <x v="6"/>
    <x v="0"/>
    <x v="0"/>
    <x v="0"/>
    <x v="0"/>
    <x v="7"/>
    <s v="Ortsverein Grundbeitrag"/>
    <s v="z.B. Bezirksimkerverein München"/>
    <x v="1"/>
    <n v="26"/>
    <s v="Betrieb"/>
    <m/>
    <n v="1"/>
    <m/>
    <n v="40"/>
    <m/>
    <n v="40"/>
    <n v="1.5384615384615385"/>
    <n v="4.3956043956043959E-2"/>
    <n v="2.197802197802198E-2"/>
    <n v="0"/>
  </r>
  <r>
    <n v="293"/>
    <s v="Gemeinkosten"/>
    <x v="6"/>
    <x v="0"/>
    <x v="0"/>
    <x v="0"/>
    <x v="0"/>
    <x v="10"/>
    <s v="Fortbildung / Abo Fachzeitschrift"/>
    <s v="z.B. Bienen und Natur"/>
    <x v="1"/>
    <n v="26"/>
    <s v="Betrieb"/>
    <m/>
    <n v="1"/>
    <m/>
    <n v="66.900000000000006"/>
    <m/>
    <n v="66.900000000000006"/>
    <n v="2.5730769230769233"/>
    <n v="7.3516483516483516E-2"/>
    <n v="3.6758241758241758E-2"/>
    <n v="0"/>
  </r>
  <r>
    <n v="294"/>
    <s v="Gemeinkosten"/>
    <x v="6"/>
    <x v="0"/>
    <x v="0"/>
    <x v="0"/>
    <x v="0"/>
    <x v="8"/>
    <s v="Steuerberatung / Buchführungskosten"/>
    <m/>
    <x v="1"/>
    <n v="26"/>
    <s v="Betrieb"/>
    <m/>
    <n v="1"/>
    <m/>
    <n v="0"/>
    <m/>
    <n v="0"/>
    <n v="0"/>
    <n v="0"/>
    <n v="0"/>
    <n v="0"/>
  </r>
  <r>
    <n v="295"/>
    <s v="Gemeinkosten"/>
    <x v="6"/>
    <x v="0"/>
    <x v="0"/>
    <x v="0"/>
    <x v="0"/>
    <x v="7"/>
    <s v="DIB Grundbeitrag"/>
    <s v="DIB"/>
    <x v="2"/>
    <n v="71"/>
    <s v="Betrieb"/>
    <m/>
    <n v="1"/>
    <m/>
    <n v="3.58"/>
    <m/>
    <n v="3.58"/>
    <n v="5.0422535211267605E-2"/>
    <n v="1.4406438631790744E-3"/>
    <n v="7.2032193158953718E-4"/>
    <n v="0"/>
  </r>
  <r>
    <n v="296"/>
    <s v="Gemeinkosten"/>
    <x v="6"/>
    <x v="0"/>
    <x v="0"/>
    <x v="0"/>
    <x v="0"/>
    <x v="7"/>
    <s v="DIB Werbebeitrag"/>
    <s v="DIB"/>
    <x v="2"/>
    <n v="71"/>
    <s v="WV"/>
    <m/>
    <n v="1"/>
    <m/>
    <n v="0.26"/>
    <m/>
    <n v="18.46"/>
    <n v="0.26"/>
    <n v="7.4285714285714285E-3"/>
    <n v="3.7142857142857142E-3"/>
    <n v="0"/>
  </r>
  <r>
    <n v="297"/>
    <s v="Gemeinkosten"/>
    <x v="6"/>
    <x v="0"/>
    <x v="0"/>
    <x v="0"/>
    <x v="0"/>
    <x v="7"/>
    <s v="Landesverband Grundbeitrag"/>
    <s v="z.B. LVBI ohne Versicherungen"/>
    <x v="2"/>
    <n v="71"/>
    <s v="Betrieb"/>
    <m/>
    <n v="1"/>
    <m/>
    <n v="14"/>
    <m/>
    <n v="14"/>
    <n v="0.19718309859154928"/>
    <n v="5.6338028169014079E-3"/>
    <n v="2.8169014084507039E-3"/>
    <n v="0"/>
  </r>
  <r>
    <n v="298"/>
    <s v="Gemeinkosten"/>
    <x v="6"/>
    <x v="0"/>
    <x v="0"/>
    <x v="0"/>
    <x v="0"/>
    <x v="7"/>
    <s v="Ortsverein Grundbeitrag"/>
    <s v="z.B. Bezirksimkerverein München"/>
    <x v="2"/>
    <n v="71"/>
    <s v="Betrieb"/>
    <m/>
    <n v="1"/>
    <m/>
    <n v="40"/>
    <m/>
    <n v="40"/>
    <n v="0.56338028169014087"/>
    <n v="1.6096579476861168E-2"/>
    <n v="8.0482897384305842E-3"/>
    <n v="0"/>
  </r>
  <r>
    <n v="299"/>
    <s v="Gemeinkosten"/>
    <x v="6"/>
    <x v="0"/>
    <x v="0"/>
    <x v="0"/>
    <x v="0"/>
    <x v="10"/>
    <s v="Fortbildung / Abo Fachzeitschrift"/>
    <s v="z.B. Bienen und Natur"/>
    <x v="2"/>
    <n v="71"/>
    <s v="Betrieb"/>
    <m/>
    <n v="1"/>
    <m/>
    <n v="66.900000000000006"/>
    <m/>
    <n v="66.900000000000006"/>
    <n v="0.94225352112676064"/>
    <n v="2.6921529175050304E-2"/>
    <n v="1.3460764587525152E-2"/>
    <n v="0"/>
  </r>
  <r>
    <n v="300"/>
    <s v="Gemeinkosten"/>
    <x v="6"/>
    <x v="0"/>
    <x v="0"/>
    <x v="0"/>
    <x v="0"/>
    <x v="8"/>
    <s v="Steuerberatung / Buchführungskosten"/>
    <m/>
    <x v="2"/>
    <n v="71"/>
    <s v="Betrieb"/>
    <m/>
    <n v="1"/>
    <m/>
    <n v="700"/>
    <m/>
    <n v="700"/>
    <n v="9.8591549295774641"/>
    <n v="0.28169014084507038"/>
    <n v="0.14084507042253519"/>
    <n v="0"/>
  </r>
  <r>
    <n v="301"/>
    <s v="Gemeinkosten"/>
    <x v="6"/>
    <x v="0"/>
    <x v="0"/>
    <x v="0"/>
    <x v="0"/>
    <x v="7"/>
    <s v="DIB Grundbeitrag"/>
    <s v="DIB"/>
    <x v="3"/>
    <n v="150"/>
    <s v="Betrieb"/>
    <m/>
    <n v="1"/>
    <m/>
    <n v="3.58"/>
    <m/>
    <n v="3.58"/>
    <n v="2.3866666666666668E-2"/>
    <n v="6.8190476190476193E-4"/>
    <n v="3.4095238095238097E-4"/>
    <n v="0"/>
  </r>
  <r>
    <n v="302"/>
    <s v="Gemeinkosten"/>
    <x v="6"/>
    <x v="0"/>
    <x v="0"/>
    <x v="0"/>
    <x v="0"/>
    <x v="7"/>
    <s v="DIB Werbebeitrag"/>
    <s v="DIB"/>
    <x v="3"/>
    <n v="150"/>
    <s v="WV"/>
    <m/>
    <n v="1"/>
    <m/>
    <n v="0.26"/>
    <m/>
    <n v="39"/>
    <n v="0.26"/>
    <n v="7.4285714285714285E-3"/>
    <n v="3.7142857142857142E-3"/>
    <n v="0"/>
  </r>
  <r>
    <n v="303"/>
    <s v="Gemeinkosten"/>
    <x v="6"/>
    <x v="0"/>
    <x v="0"/>
    <x v="0"/>
    <x v="0"/>
    <x v="7"/>
    <s v="Landesverband Grundbeitrag"/>
    <s v="z.B. LVBI ohne Versicherungen"/>
    <x v="3"/>
    <n v="150"/>
    <s v="Betrieb"/>
    <m/>
    <n v="1"/>
    <m/>
    <n v="14"/>
    <m/>
    <n v="14"/>
    <n v="9.3333333333333338E-2"/>
    <n v="2.6666666666666666E-3"/>
    <n v="1.3333333333333333E-3"/>
    <n v="0"/>
  </r>
  <r>
    <n v="304"/>
    <s v="Gemeinkosten"/>
    <x v="6"/>
    <x v="0"/>
    <x v="0"/>
    <x v="0"/>
    <x v="0"/>
    <x v="7"/>
    <s v="Ortsverein Grundbeitrag"/>
    <s v="z.B. Bezirksimkerverein München"/>
    <x v="3"/>
    <n v="150"/>
    <s v="Betrieb"/>
    <m/>
    <n v="1"/>
    <m/>
    <n v="40"/>
    <m/>
    <n v="40"/>
    <n v="0.26666666666666666"/>
    <n v="7.619047619047619E-3"/>
    <n v="3.8095238095238095E-3"/>
    <n v="0"/>
  </r>
  <r>
    <n v="305"/>
    <s v="Gemeinkosten"/>
    <x v="6"/>
    <x v="0"/>
    <x v="0"/>
    <x v="0"/>
    <x v="0"/>
    <x v="7"/>
    <s v="DBIB Grundbeitrag"/>
    <s v="DBIB"/>
    <x v="3"/>
    <n v="150"/>
    <s v="Betrieb"/>
    <m/>
    <n v="1"/>
    <m/>
    <n v="250"/>
    <m/>
    <n v="250"/>
    <n v="1.6666666666666667"/>
    <n v="4.7619047619047623E-2"/>
    <n v="2.3809523809523812E-2"/>
    <n v="0"/>
  </r>
  <r>
    <n v="306"/>
    <s v="Gemeinkosten"/>
    <x v="6"/>
    <x v="0"/>
    <x v="0"/>
    <x v="0"/>
    <x v="0"/>
    <x v="7"/>
    <s v="Rundfunkbeitrag"/>
    <s v="1 Betriebsstätte mit 1 KFZ separat"/>
    <x v="3"/>
    <n v="150"/>
    <s v="Betrieb"/>
    <m/>
    <n v="1"/>
    <m/>
    <n v="146.88"/>
    <m/>
    <n v="146.88"/>
    <n v="0.97919999999999996"/>
    <n v="2.7977142857142857E-2"/>
    <n v="1.3988571428571428E-2"/>
    <n v="0"/>
  </r>
  <r>
    <n v="307"/>
    <s v="Gemeinkosten"/>
    <x v="6"/>
    <x v="0"/>
    <x v="0"/>
    <x v="0"/>
    <x v="0"/>
    <x v="10"/>
    <s v="Fortbildung / Abo Fachzeitschrift"/>
    <s v="z.B. Bienen und Natur"/>
    <x v="3"/>
    <n v="150"/>
    <s v="Betrieb"/>
    <m/>
    <n v="1"/>
    <m/>
    <n v="66.900000000000006"/>
    <m/>
    <n v="66.900000000000006"/>
    <n v="0.44600000000000006"/>
    <n v="1.2742857142857144E-2"/>
    <n v="6.3714285714285722E-3"/>
    <n v="0"/>
  </r>
  <r>
    <n v="308"/>
    <s v="Gemeinkosten"/>
    <x v="6"/>
    <x v="0"/>
    <x v="0"/>
    <x v="0"/>
    <x v="0"/>
    <x v="8"/>
    <s v="Steuerberatung / Buchführungskosten"/>
    <m/>
    <x v="3"/>
    <n v="150"/>
    <s v="Betrieb"/>
    <m/>
    <n v="1"/>
    <m/>
    <n v="1000"/>
    <m/>
    <n v="1000"/>
    <n v="6.666666666666667"/>
    <n v="0.19047619047619049"/>
    <n v="9.5238095238095247E-2"/>
    <n v="0"/>
  </r>
  <r>
    <n v="309"/>
    <s v="Gemeinkosten"/>
    <x v="6"/>
    <x v="0"/>
    <x v="0"/>
    <x v="0"/>
    <x v="0"/>
    <x v="11"/>
    <s v="Hosting Homepage / Mobiltelefonie"/>
    <m/>
    <x v="0"/>
    <n v="6"/>
    <s v="Betrieb"/>
    <m/>
    <n v="1"/>
    <m/>
    <n v="12"/>
    <m/>
    <n v="12"/>
    <n v="2"/>
    <n v="5.7142857142857141E-2"/>
    <n v="2.8571428571428571E-2"/>
    <n v="0"/>
  </r>
  <r>
    <n v="310"/>
    <s v="Gemeinkosten"/>
    <x v="6"/>
    <x v="0"/>
    <x v="0"/>
    <x v="0"/>
    <x v="0"/>
    <x v="11"/>
    <s v="Hosting Homepage / Mobiltelefonie"/>
    <m/>
    <x v="1"/>
    <n v="26"/>
    <s v="Betrieb"/>
    <m/>
    <n v="1"/>
    <m/>
    <n v="50"/>
    <m/>
    <n v="50"/>
    <n v="1.9230769230769231"/>
    <n v="5.4945054945054944E-2"/>
    <n v="2.7472527472527472E-2"/>
    <n v="0"/>
  </r>
  <r>
    <n v="311"/>
    <s v="Gemeinkosten"/>
    <x v="6"/>
    <x v="0"/>
    <x v="0"/>
    <x v="0"/>
    <x v="0"/>
    <x v="11"/>
    <s v="Hosting Homepage / Mobiltelefonie"/>
    <m/>
    <x v="2"/>
    <n v="71"/>
    <s v="Betrieb"/>
    <m/>
    <n v="1"/>
    <m/>
    <n v="100"/>
    <m/>
    <n v="100"/>
    <n v="1.408450704225352"/>
    <n v="4.0241448692152917E-2"/>
    <n v="2.0120724346076459E-2"/>
    <n v="0"/>
  </r>
  <r>
    <n v="312"/>
    <s v="Gemeinkosten"/>
    <x v="6"/>
    <x v="0"/>
    <x v="0"/>
    <x v="0"/>
    <x v="0"/>
    <x v="11"/>
    <s v="Hosting Homepage / Mobiltelefonie"/>
    <m/>
    <x v="3"/>
    <n v="150"/>
    <s v="Betrieb"/>
    <m/>
    <n v="1"/>
    <m/>
    <n v="200"/>
    <m/>
    <n v="200"/>
    <n v="1.3333333333333333"/>
    <n v="3.8095238095238092E-2"/>
    <n v="1.9047619047619046E-2"/>
    <n v="0"/>
  </r>
  <r>
    <n v="313"/>
    <s v="Vertrieb"/>
    <x v="7"/>
    <x v="0"/>
    <x v="1"/>
    <x v="1"/>
    <x v="1"/>
    <x v="12"/>
    <s v="Verkaufsvorgang (Gespräch, Zahlungsvorgang, Belegerstellung, Pfandrücknahme….)"/>
    <m/>
    <x v="0"/>
    <n v="6"/>
    <s v="kg"/>
    <m/>
    <n v="2"/>
    <m/>
    <m/>
    <m/>
    <n v="420"/>
    <n v="70"/>
    <n v="2"/>
    <n v="1"/>
    <n v="0"/>
  </r>
  <r>
    <n v="314"/>
    <s v="Vertrieb"/>
    <x v="7"/>
    <x v="0"/>
    <x v="1"/>
    <x v="1"/>
    <x v="1"/>
    <x v="4"/>
    <s v="Sozialversicherung"/>
    <s v="https://www.destatis.de/DE/Themen/Arbeit/Arbeitskosten-Lohnnebenkosten/Tabellen/lohnkosten-deutschland.html"/>
    <x v="0"/>
    <n v="6"/>
    <s v="kg"/>
    <m/>
    <m/>
    <m/>
    <m/>
    <m/>
    <n v="0"/>
    <n v="0"/>
    <n v="0"/>
    <n v="0"/>
    <n v="0"/>
  </r>
  <r>
    <n v="315"/>
    <s v="Vertrieb"/>
    <x v="7"/>
    <x v="0"/>
    <x v="1"/>
    <x v="1"/>
    <x v="1"/>
    <x v="12"/>
    <s v="Verkaufsvorgang (Gespräch, Zahlungsvorgang, Belegerstellung, Pfandrücknahme….)"/>
    <m/>
    <x v="1"/>
    <n v="26"/>
    <s v="kg"/>
    <m/>
    <n v="2"/>
    <m/>
    <m/>
    <m/>
    <n v="1820"/>
    <n v="70"/>
    <n v="2"/>
    <n v="1"/>
    <n v="0"/>
  </r>
  <r>
    <n v="316"/>
    <s v="Vertrieb"/>
    <x v="7"/>
    <x v="0"/>
    <x v="1"/>
    <x v="1"/>
    <x v="1"/>
    <x v="4"/>
    <s v="Sozialversicherung"/>
    <s v="https://www.destatis.de/DE/Themen/Arbeit/Arbeitskosten-Lohnnebenkosten/Tabellen/lohnkosten-deutschland.html"/>
    <x v="1"/>
    <n v="26"/>
    <s v="kg"/>
    <m/>
    <m/>
    <m/>
    <m/>
    <m/>
    <n v="0"/>
    <n v="0"/>
    <n v="0"/>
    <n v="0"/>
    <n v="0"/>
  </r>
  <r>
    <n v="317"/>
    <s v="Vertrieb"/>
    <x v="7"/>
    <x v="0"/>
    <x v="1"/>
    <x v="1"/>
    <x v="1"/>
    <x v="12"/>
    <s v="Verkaufsvorgang (Gespräch, Zahlungsvorgang, Belegerstellung, Pfandrücknahme….)"/>
    <m/>
    <x v="2"/>
    <n v="71"/>
    <s v="kg"/>
    <m/>
    <n v="2"/>
    <m/>
    <m/>
    <m/>
    <n v="4970"/>
    <n v="70"/>
    <n v="2"/>
    <n v="1"/>
    <n v="0"/>
  </r>
  <r>
    <n v="318"/>
    <s v="Vertrieb"/>
    <x v="7"/>
    <x v="0"/>
    <x v="1"/>
    <x v="1"/>
    <x v="1"/>
    <x v="4"/>
    <s v="Sozialversicherung"/>
    <s v="https://www.destatis.de/DE/Themen/Arbeit/Arbeitskosten-Lohnnebenkosten/Tabellen/lohnkosten-deutschland.html"/>
    <x v="2"/>
    <n v="71"/>
    <s v="kg"/>
    <m/>
    <m/>
    <m/>
    <m/>
    <m/>
    <n v="0"/>
    <n v="0"/>
    <n v="0"/>
    <n v="0"/>
    <n v="0"/>
  </r>
  <r>
    <n v="319"/>
    <s v="Vertrieb"/>
    <x v="7"/>
    <x v="0"/>
    <x v="1"/>
    <x v="1"/>
    <x v="1"/>
    <x v="12"/>
    <s v="Verkaufsvorgang (Gespräch, Zahlungsvorgang, Belegerstellung, Pfandrücknahme….)"/>
    <m/>
    <x v="3"/>
    <n v="150"/>
    <s v="kg"/>
    <m/>
    <n v="2"/>
    <m/>
    <m/>
    <m/>
    <n v="10500"/>
    <n v="70"/>
    <n v="2"/>
    <n v="1"/>
    <n v="0"/>
  </r>
  <r>
    <n v="320"/>
    <s v="Vertrieb"/>
    <x v="7"/>
    <x v="0"/>
    <x v="1"/>
    <x v="1"/>
    <x v="1"/>
    <x v="4"/>
    <s v="Sozialversicherung"/>
    <s v="https://www.destatis.de/DE/Themen/Arbeit/Arbeitskosten-Lohnnebenkosten/Tabellen/lohnkosten-deutschland.html"/>
    <x v="3"/>
    <n v="150"/>
    <s v="kg"/>
    <m/>
    <m/>
    <m/>
    <m/>
    <m/>
    <n v="0"/>
    <n v="0"/>
    <n v="0"/>
    <n v="0"/>
    <n v="0"/>
  </r>
  <r>
    <n v="321"/>
    <s v="Unternehmenswagnis"/>
    <x v="8"/>
    <x v="0"/>
    <x v="1"/>
    <x v="1"/>
    <x v="1"/>
    <x v="13"/>
    <m/>
    <m/>
    <x v="0"/>
    <n v="6"/>
    <s v="Betrieb"/>
    <m/>
    <m/>
    <m/>
    <n v="0.1"/>
    <m/>
    <n v="380.25591768627464"/>
    <n v="63.375986281045776"/>
    <n v="1.8107424651727364"/>
    <n v="0.9053712325863682"/>
    <n v="0"/>
  </r>
  <r>
    <n v="322"/>
    <s v="Unternehmenswagnis"/>
    <x v="8"/>
    <x v="0"/>
    <x v="1"/>
    <x v="1"/>
    <x v="1"/>
    <x v="13"/>
    <m/>
    <m/>
    <x v="1"/>
    <n v="26"/>
    <s v="Betrieb"/>
    <m/>
    <m/>
    <m/>
    <n v="0.1"/>
    <m/>
    <n v="1317.5189549554368"/>
    <n v="50.673805959824492"/>
    <n v="1.4478230274235568"/>
    <n v="0.72391151371177842"/>
    <n v="0"/>
  </r>
  <r>
    <n v="323"/>
    <s v="Unternehmenswagnis"/>
    <x v="8"/>
    <x v="0"/>
    <x v="1"/>
    <x v="1"/>
    <x v="1"/>
    <x v="13"/>
    <m/>
    <m/>
    <x v="2"/>
    <n v="71"/>
    <s v="Betrieb"/>
    <m/>
    <m/>
    <m/>
    <n v="0.1"/>
    <m/>
    <n v="3821.1655389539651"/>
    <n v="53.819232943013596"/>
    <n v="1.5376923698003884"/>
    <n v="0.76884618490019419"/>
    <n v="0"/>
  </r>
  <r>
    <n v="324"/>
    <s v="Unternehmenswagnis"/>
    <x v="8"/>
    <x v="0"/>
    <x v="1"/>
    <x v="1"/>
    <x v="1"/>
    <x v="13"/>
    <m/>
    <m/>
    <x v="3"/>
    <n v="150"/>
    <s v="Betrieb"/>
    <m/>
    <m/>
    <m/>
    <n v="0.1"/>
    <m/>
    <n v="6869.6265753281659"/>
    <n v="45.79751050218777"/>
    <n v="1.3085003000625077"/>
    <n v="0.65425015003125386"/>
    <n v="0"/>
  </r>
  <r>
    <n v="325"/>
    <s v="Unternehmenswagnis"/>
    <x v="8"/>
    <x v="1"/>
    <x v="0"/>
    <x v="1"/>
    <x v="1"/>
    <x v="13"/>
    <m/>
    <m/>
    <x v="0"/>
    <n v="6"/>
    <s v="Betrieb"/>
    <m/>
    <m/>
    <m/>
    <n v="0.1"/>
    <m/>
    <n v="338.25591768627464"/>
    <n v="56.375986281045776"/>
    <n v="1.6107424651727364"/>
    <n v="0.80537123258636822"/>
    <n v="0"/>
  </r>
  <r>
    <n v="326"/>
    <s v="Unternehmenswagnis"/>
    <x v="8"/>
    <x v="1"/>
    <x v="0"/>
    <x v="1"/>
    <x v="1"/>
    <x v="13"/>
    <m/>
    <m/>
    <x v="1"/>
    <n v="26"/>
    <s v="Betrieb"/>
    <m/>
    <m/>
    <m/>
    <n v="0.1"/>
    <m/>
    <n v="1135.5189549554368"/>
    <n v="43.673805959824492"/>
    <n v="1.2478230274235569"/>
    <n v="0.62391151371177844"/>
    <n v="0"/>
  </r>
  <r>
    <n v="327"/>
    <s v="Unternehmenswagnis"/>
    <x v="8"/>
    <x v="1"/>
    <x v="0"/>
    <x v="1"/>
    <x v="1"/>
    <x v="13"/>
    <m/>
    <m/>
    <x v="2"/>
    <n v="71"/>
    <s v="Betrieb"/>
    <m/>
    <m/>
    <m/>
    <n v="0.1"/>
    <m/>
    <n v="3324.1655389539651"/>
    <n v="46.819232943013596"/>
    <n v="1.3376923698003884"/>
    <n v="0.66884618490019421"/>
    <n v="0"/>
  </r>
  <r>
    <n v="328"/>
    <s v="Unternehmenswagnis"/>
    <x v="8"/>
    <x v="1"/>
    <x v="0"/>
    <x v="1"/>
    <x v="1"/>
    <x v="13"/>
    <m/>
    <m/>
    <x v="3"/>
    <n v="150"/>
    <s v="Betrieb"/>
    <m/>
    <m/>
    <m/>
    <n v="0.1"/>
    <m/>
    <n v="5819.6265753281659"/>
    <n v="38.79751050218777"/>
    <n v="1.1085003000625078"/>
    <n v="0.55425015003125389"/>
    <n v="0"/>
  </r>
  <r>
    <n v="329"/>
    <s v="Unternehmenswagnis"/>
    <x v="8"/>
    <x v="1"/>
    <x v="1"/>
    <x v="0"/>
    <x v="1"/>
    <x v="13"/>
    <m/>
    <m/>
    <x v="0"/>
    <n v="6"/>
    <s v="Betrieb"/>
    <m/>
    <m/>
    <m/>
    <n v="0.1"/>
    <m/>
    <n v="245.45557835294122"/>
    <n v="40.909263058823534"/>
    <n v="1.1688360873949581"/>
    <n v="0.58441804369747907"/>
    <n v="0"/>
  </r>
  <r>
    <n v="330"/>
    <s v="Unternehmenswagnis"/>
    <x v="8"/>
    <x v="1"/>
    <x v="1"/>
    <x v="0"/>
    <x v="1"/>
    <x v="13"/>
    <m/>
    <m/>
    <x v="1"/>
    <n v="26"/>
    <s v="Betrieb"/>
    <m/>
    <m/>
    <m/>
    <n v="0.1"/>
    <m/>
    <n v="868.83677828877012"/>
    <n v="33.4167991649527"/>
    <n v="0.95476569042722004"/>
    <n v="0.47738284521361002"/>
    <n v="0"/>
  </r>
  <r>
    <n v="331"/>
    <s v="Unternehmenswagnis"/>
    <x v="8"/>
    <x v="1"/>
    <x v="1"/>
    <x v="0"/>
    <x v="1"/>
    <x v="13"/>
    <m/>
    <m/>
    <x v="2"/>
    <n v="71"/>
    <s v="Betrieb"/>
    <m/>
    <m/>
    <m/>
    <n v="0.1"/>
    <m/>
    <n v="2447.1008741532983"/>
    <n v="34.466209495116878"/>
    <n v="0.98474884271762508"/>
    <n v="0.49237442135881249"/>
    <n v="0"/>
  </r>
  <r>
    <n v="332"/>
    <s v="Unternehmenswagnis"/>
    <x v="8"/>
    <x v="1"/>
    <x v="1"/>
    <x v="0"/>
    <x v="1"/>
    <x v="13"/>
    <m/>
    <m/>
    <x v="3"/>
    <n v="150"/>
    <s v="Betrieb"/>
    <m/>
    <m/>
    <m/>
    <n v="0.1"/>
    <m/>
    <n v="4245.040405561499"/>
    <n v="28.300269370409993"/>
    <n v="0.80857912486885697"/>
    <n v="0.4042895624344284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2">
  <r>
    <n v="1"/>
    <s v="Herstellung"/>
    <x v="0"/>
    <x v="0"/>
    <s v="x"/>
    <s v="x"/>
    <s v="pagatorisch"/>
    <s v="Material"/>
    <s v="Jungkönigin für Wirtschaftsvölker"/>
    <m/>
    <x v="0"/>
    <n v="6"/>
    <s v="WV"/>
    <n v="2"/>
    <m/>
    <m/>
    <n v="30"/>
    <m/>
    <n v="90"/>
    <n v="15"/>
    <n v="0.42857142857142855"/>
    <n v="0.21428571428571427"/>
    <n v="0"/>
    <s v=""/>
    <s v=""/>
    <s v=""/>
  </r>
  <r>
    <n v="2"/>
    <s v="Herstellung"/>
    <x v="0"/>
    <x v="0"/>
    <s v="x"/>
    <s v="x"/>
    <s v="kalkulatorisch"/>
    <s v="Abschreibung"/>
    <s v="Beutensysteme komplett inkl. Rähmchen, Beutenbock"/>
    <s v="z.B. Angebot Fa. Graze Beuten-Komplettsystem inkl. Rähmchen Fütterer Fluchten Böcke 200 EUR + 3kg x 25 EUR für Erstausstattung Mittelwände"/>
    <x v="0"/>
    <n v="6"/>
    <s v="WV"/>
    <n v="15"/>
    <m/>
    <m/>
    <n v="275"/>
    <n v="1941.1764705882354"/>
    <n v="129.41176470588235"/>
    <n v="21.56862745098039"/>
    <n v="0.6162464985994397"/>
    <n v="0.30812324929971985"/>
    <n v="323.52941176470591"/>
    <s v=""/>
    <s v=""/>
    <s v=""/>
  </r>
  <r>
    <n v="3"/>
    <s v="Herstellung"/>
    <x v="0"/>
    <x v="0"/>
    <s v="x"/>
    <s v="x"/>
    <s v="kalkulatorisch"/>
    <s v="Abschreibung"/>
    <s v="Stockwaage"/>
    <m/>
    <x v="0"/>
    <n v="6"/>
    <s v="Betrieb"/>
    <n v="10"/>
    <n v="0"/>
    <m/>
    <n v="800"/>
    <n v="0"/>
    <n v="0"/>
    <n v="0"/>
    <n v="0"/>
    <n v="0"/>
    <n v="0"/>
    <s v=""/>
    <s v=""/>
    <s v=""/>
  </r>
  <r>
    <n v="4"/>
    <s v="Herstellung"/>
    <x v="0"/>
    <x v="0"/>
    <s v="x"/>
    <s v="x"/>
    <s v="kalkulatorisch"/>
    <s v="Abschreibung"/>
    <s v="Hebetechnik"/>
    <m/>
    <x v="0"/>
    <n v="6"/>
    <s v="Betrieb"/>
    <n v="11"/>
    <n v="0"/>
    <m/>
    <n v="0"/>
    <n v="0"/>
    <n v="0"/>
    <n v="0"/>
    <n v="0"/>
    <n v="0"/>
    <n v="0"/>
    <s v=""/>
    <s v=""/>
    <s v=""/>
  </r>
  <r>
    <n v="5"/>
    <s v="Herstellung"/>
    <x v="0"/>
    <x v="0"/>
    <s v="x"/>
    <s v="x"/>
    <s v="kalkulatorisch"/>
    <s v="Abschreibung"/>
    <s v="Ablegerbeutensysteme Remontierung = Verlustrate / 75% erfolgsquote Abelgerbildung"/>
    <m/>
    <x v="0"/>
    <n v="6"/>
    <s v="WV"/>
    <n v="15"/>
    <n v="0.4"/>
    <m/>
    <n v="110"/>
    <n v="264"/>
    <n v="17.600000000000001"/>
    <n v="2.9333333333333336"/>
    <n v="8.380952380952382E-2"/>
    <n v="4.190476190476191E-2"/>
    <n v="44"/>
    <s v=""/>
    <s v=""/>
    <s v=""/>
  </r>
  <r>
    <n v="6"/>
    <s v="Herstellung"/>
    <x v="0"/>
    <x v="0"/>
    <s v="x"/>
    <s v="x"/>
    <s v="pagatorisch"/>
    <s v="Material"/>
    <s v="Rähmchen Ableger"/>
    <s v="Honigerzeugergemeinschaft Süddeutschland w.V. / HEG Imker Shop GmbH  "/>
    <x v="0"/>
    <n v="6"/>
    <s v="WV"/>
    <n v="1"/>
    <n v="0.8"/>
    <m/>
    <n v="1.3"/>
    <m/>
    <n v="6.24"/>
    <n v="1.04"/>
    <n v="2.9714285714285714E-2"/>
    <n v="1.4857142857142857E-2"/>
    <n v="0"/>
    <s v=""/>
    <s v=""/>
    <s v=""/>
  </r>
  <r>
    <n v="7"/>
    <s v="Herstellung"/>
    <x v="0"/>
    <x v="0"/>
    <s v="x"/>
    <s v="x"/>
    <s v="pagatorisch"/>
    <s v="Material"/>
    <s v="Jungkönigin für Ableger"/>
    <m/>
    <x v="0"/>
    <n v="6"/>
    <s v="WV"/>
    <n v="1"/>
    <n v="0.4"/>
    <m/>
    <n v="30"/>
    <m/>
    <n v="72"/>
    <n v="12"/>
    <n v="0.34285714285714286"/>
    <n v="0.17142857142857143"/>
    <n v="0"/>
    <s v=""/>
    <s v=""/>
    <s v=""/>
  </r>
  <r>
    <n v="8"/>
    <s v="Herstellung"/>
    <x v="0"/>
    <x v="0"/>
    <s v="x"/>
    <s v="x"/>
    <s v="pagatorisch"/>
    <s v="Material"/>
    <s v="Futtermittel für Ableger"/>
    <m/>
    <x v="0"/>
    <n v="6"/>
    <s v="WV"/>
    <m/>
    <n v="4"/>
    <m/>
    <n v="1.8"/>
    <m/>
    <n v="43.2"/>
    <n v="7.2"/>
    <n v="0.20571428571428571"/>
    <n v="0.10285714285714286"/>
    <n v="0"/>
    <s v=""/>
    <s v=""/>
    <s v=""/>
  </r>
  <r>
    <n v="9"/>
    <s v="Herstellung"/>
    <x v="0"/>
    <x v="0"/>
    <s v="x"/>
    <s v="x"/>
    <s v="kalkulatorisch"/>
    <s v="Arbeit"/>
    <s v="Eingriffe / Volk und Jahr Ableger"/>
    <m/>
    <x v="0"/>
    <n v="6"/>
    <s v="WV"/>
    <m/>
    <n v="2"/>
    <n v="5"/>
    <n v="14"/>
    <m/>
    <n v="13.999999999999998"/>
    <n v="2.333333333333333"/>
    <n v="6.6666666666666652E-2"/>
    <n v="3.3333333333333326E-2"/>
    <n v="0"/>
    <n v="0.16666666666666666"/>
    <s v=""/>
    <s v=""/>
  </r>
  <r>
    <n v="10"/>
    <s v="Herstellung"/>
    <x v="0"/>
    <x v="0"/>
    <s v="x"/>
    <s v="x"/>
    <s v="pagatorisch"/>
    <s v="Material"/>
    <s v="Rähmchenersatz"/>
    <s v="Honigerzeugergemeinschaft Süddeutschland w.V. / HEG Imker Shop GmbH  "/>
    <x v="0"/>
    <n v="6"/>
    <s v="WV"/>
    <m/>
    <n v="2"/>
    <m/>
    <n v="1.3"/>
    <m/>
    <n v="18.352941176470591"/>
    <n v="3.0588235294117649"/>
    <n v="8.7394957983193286E-2"/>
    <n v="4.3697478991596643E-2"/>
    <n v="0"/>
    <s v=""/>
    <s v=""/>
    <s v=""/>
  </r>
  <r>
    <n v="11"/>
    <s v="Herstellung"/>
    <x v="0"/>
    <x v="0"/>
    <s v="x"/>
    <s v="x"/>
    <s v="pagatorisch"/>
    <s v="Material"/>
    <s v="Werkzeuge (Smoker, Stockmeisel, Sprühflasche, Besen, Zurrgurt…...)"/>
    <m/>
    <x v="0"/>
    <n v="6"/>
    <s v="Betrieb"/>
    <n v="10"/>
    <m/>
    <m/>
    <n v="120"/>
    <m/>
    <n v="12"/>
    <n v="2"/>
    <n v="5.7142857142857141E-2"/>
    <n v="2.8571428571428571E-2"/>
    <n v="0"/>
    <s v=""/>
    <s v=""/>
    <s v=""/>
  </r>
  <r>
    <n v="12"/>
    <s v="Herstellung"/>
    <x v="0"/>
    <x v="0"/>
    <s v="x"/>
    <s v="x"/>
    <s v="pagatorisch"/>
    <s v="Material"/>
    <s v="Schutzkleidung"/>
    <m/>
    <x v="0"/>
    <n v="6"/>
    <s v="Betrieb"/>
    <n v="5"/>
    <m/>
    <m/>
    <n v="100"/>
    <m/>
    <n v="20"/>
    <n v="3.3333333333333335"/>
    <n v="9.5238095238095247E-2"/>
    <n v="4.7619047619047623E-2"/>
    <n v="0"/>
    <s v=""/>
    <s v=""/>
    <s v=""/>
  </r>
  <r>
    <n v="13"/>
    <s v="Herstellung"/>
    <x v="0"/>
    <x v="0"/>
    <s v="x"/>
    <s v="x"/>
    <s v="pagatorisch"/>
    <s v="Material"/>
    <s v="Futtermittel"/>
    <s v="Interne Statistik Futtermittel LWG/IBI bezogen auf kg Trockenmasse"/>
    <x v="0"/>
    <n v="6"/>
    <s v="WV"/>
    <m/>
    <n v="15"/>
    <m/>
    <n v="1.8"/>
    <m/>
    <n v="190.58823529411765"/>
    <n v="31.764705882352942"/>
    <n v="0.90756302521008403"/>
    <n v="0.45378151260504201"/>
    <n v="0"/>
    <s v=""/>
    <s v=""/>
    <s v=""/>
  </r>
  <r>
    <n v="14"/>
    <s v="Herstellung"/>
    <x v="0"/>
    <x v="0"/>
    <s v="x"/>
    <s v="x"/>
    <s v="kalkulatorisch"/>
    <s v="KFZ"/>
    <s v="KFZ-Kosten"/>
    <s v="LWG IBI KFZ Kostenrechner nur PKW; 20 Völker /Stand"/>
    <x v="0"/>
    <n v="6"/>
    <s v="Betrieb"/>
    <m/>
    <n v="10"/>
    <m/>
    <n v="0.35"/>
    <m/>
    <n v="7"/>
    <n v="1.1666666666666667"/>
    <n v="3.3333333333333333E-2"/>
    <n v="1.6666666666666666E-2"/>
    <n v="0"/>
    <s v=""/>
    <s v=""/>
    <n v="9.5238095238095247E-2"/>
  </r>
  <r>
    <n v="15"/>
    <s v="Herstellung"/>
    <x v="0"/>
    <x v="0"/>
    <s v="x"/>
    <s v="x"/>
    <s v="kalkulatorisch"/>
    <s v="Arbeit"/>
    <s v="Eingriffe / Volk und Jahr"/>
    <m/>
    <x v="0"/>
    <n v="6"/>
    <s v="WV"/>
    <m/>
    <n v="10"/>
    <n v="10"/>
    <n v="14"/>
    <m/>
    <n v="164.70588235294119"/>
    <n v="27.450980392156865"/>
    <n v="0.78431372549019618"/>
    <n v="0.39215686274509809"/>
    <n v="0"/>
    <n v="1.9607843137254903"/>
    <s v=""/>
    <s v=""/>
  </r>
  <r>
    <n v="16"/>
    <s v="Herstellung"/>
    <x v="0"/>
    <x v="0"/>
    <s v="x"/>
    <s v="x"/>
    <s v="kalkulatorisch"/>
    <s v="Arbeit"/>
    <s v="Rüstzeit"/>
    <m/>
    <x v="0"/>
    <n v="6"/>
    <s v="Betrieb"/>
    <m/>
    <n v="10"/>
    <n v="15"/>
    <n v="14"/>
    <m/>
    <n v="35"/>
    <n v="5.833333333333333"/>
    <n v="0.16666666666666666"/>
    <n v="8.3333333333333329E-2"/>
    <n v="0"/>
    <n v="0.41666666666666669"/>
    <s v=""/>
    <s v=""/>
  </r>
  <r>
    <n v="17"/>
    <s v="Herstellung"/>
    <x v="0"/>
    <x v="0"/>
    <s v="x"/>
    <s v="x"/>
    <s v="kalkulatorisch"/>
    <s v="Arbeit"/>
    <s v="Fahrtzeit"/>
    <m/>
    <x v="0"/>
    <n v="6"/>
    <s v="Betrieb"/>
    <m/>
    <n v="10"/>
    <n v="2"/>
    <n v="14"/>
    <m/>
    <n v="4.6666666666666661"/>
    <n v="0.77777777777777768"/>
    <n v="2.222222222222222E-2"/>
    <n v="1.111111111111111E-2"/>
    <n v="0"/>
    <n v="5.5555555555555552E-2"/>
    <s v=""/>
    <s v=""/>
  </r>
  <r>
    <n v="18"/>
    <s v="Herstellung"/>
    <x v="0"/>
    <x v="0"/>
    <s v="x"/>
    <s v="x"/>
    <s v="kalkulatorisch"/>
    <s v="Sozialversicherung"/>
    <s v="Sozialversicherung"/>
    <s v="https://www.destatis.de/DE/Themen/Arbeit/Arbeitskosten-Lohnnebenkosten/Tabellen/lohnkosten-deutschland.html"/>
    <x v="0"/>
    <n v="6"/>
    <s v="Betrieb"/>
    <m/>
    <m/>
    <m/>
    <n v="0.28999999999999998"/>
    <m/>
    <n v="63.328039215686267"/>
    <n v="10.554673202614378"/>
    <n v="0.30156209150326796"/>
    <n v="0.15078104575163398"/>
    <n v="0"/>
    <s v=""/>
    <s v=""/>
    <s v=""/>
  </r>
  <r>
    <n v="19"/>
    <s v="Herstellung"/>
    <x v="0"/>
    <x v="0"/>
    <s v="x"/>
    <s v="x"/>
    <s v="kalkulatorisch"/>
    <s v="Raumkosten"/>
    <s v="Raumkosten"/>
    <s v="https://www.iwkoeln.de/fileadmin/user_upload/Studien/Gutachten/PDF/2023/IWIP_Gutachten_Industrieimmobilien.pdf"/>
    <x v="0"/>
    <n v="6"/>
    <s v="Betrieb"/>
    <n v="1"/>
    <n v="6"/>
    <m/>
    <n v="4.6100000000000003"/>
    <m/>
    <n v="331.92000000000007"/>
    <n v="55.320000000000014"/>
    <n v="1.580571428571429"/>
    <n v="0.79028571428571448"/>
    <n v="0"/>
    <s v=""/>
    <s v=""/>
    <s v=""/>
  </r>
  <r>
    <n v="20"/>
    <s v="Herstellung"/>
    <x v="0"/>
    <x v="0"/>
    <s v="x"/>
    <s v="x"/>
    <s v="kalkulatorisch"/>
    <s v="Raumkosten"/>
    <s v="Raumnebenkosten (Strom, Wasser, Heizung)"/>
    <s v="https://www.iwkoeln.de/fileadmin/user_upload/Studien/Gutachten/PDF/2023/IWIP_Gutachten_Industrieimmobilien.pdf"/>
    <x v="0"/>
    <n v="6"/>
    <s v="Betrieb"/>
    <n v="1"/>
    <n v="6"/>
    <m/>
    <n v="9.2200000000000004E-2"/>
    <m/>
    <n v="6.6384000000000007"/>
    <n v="1.1064000000000001"/>
    <n v="3.1611428571428575E-2"/>
    <n v="1.5805714285714288E-2"/>
    <n v="0"/>
    <s v=""/>
    <s v=""/>
    <s v=""/>
  </r>
  <r>
    <n v="21"/>
    <s v="Herstellung"/>
    <x v="0"/>
    <x v="0"/>
    <s v="x"/>
    <s v="x"/>
    <s v="kalkulatorisch"/>
    <s v="Kapital"/>
    <s v="Kapital und Wagnis"/>
    <s v="LfL"/>
    <x v="0"/>
    <n v="6"/>
    <s v="Betrieb"/>
    <m/>
    <n v="1102.5882352941176"/>
    <m/>
    <n v="0.03"/>
    <m/>
    <n v="33.077647058823523"/>
    <n v="5.5129411764705871"/>
    <n v="0.15751260504201678"/>
    <n v="7.8756302521008389E-2"/>
    <n v="0"/>
    <s v=""/>
    <s v=""/>
    <s v=""/>
  </r>
  <r>
    <n v="22"/>
    <s v="Herstellung"/>
    <x v="0"/>
    <x v="0"/>
    <s v="x"/>
    <s v="x"/>
    <s v="pagatorisch"/>
    <s v="Material"/>
    <s v="Jungkönigin"/>
    <m/>
    <x v="1"/>
    <n v="26"/>
    <s v="WV"/>
    <n v="2"/>
    <m/>
    <m/>
    <n v="28.799999999999997"/>
    <m/>
    <n v="374.4"/>
    <n v="14.399999999999999"/>
    <n v="0.41142857142857137"/>
    <n v="0.20571428571428568"/>
    <n v="0"/>
    <s v=""/>
    <s v=""/>
    <s v=""/>
  </r>
  <r>
    <n v="23"/>
    <s v="Herstellung"/>
    <x v="0"/>
    <x v="0"/>
    <s v="x"/>
    <s v="x"/>
    <s v="kalkulatorisch"/>
    <s v="Abschreibung"/>
    <s v="Beutensysteme komplett inkl. Rähmchen, Beutenbock inkl. Mengendegression"/>
    <m/>
    <x v="1"/>
    <n v="26"/>
    <s v="WV"/>
    <n v="15"/>
    <m/>
    <m/>
    <n v="264"/>
    <n v="8075.2941176470595"/>
    <n v="538.35294117647061"/>
    <n v="20.705882352941178"/>
    <n v="0.59159663865546219"/>
    <n v="0.2957983193277311"/>
    <n v="310.58823529411768"/>
    <s v=""/>
    <s v=""/>
    <s v=""/>
  </r>
  <r>
    <n v="24"/>
    <s v="Herstellung"/>
    <x v="0"/>
    <x v="0"/>
    <s v="x"/>
    <s v="x"/>
    <s v="kalkulatorisch"/>
    <s v="Abschreibung"/>
    <s v="Stockwaage"/>
    <m/>
    <x v="1"/>
    <n v="26"/>
    <s v="Betrieb"/>
    <n v="10"/>
    <n v="0"/>
    <m/>
    <n v="800"/>
    <n v="0"/>
    <n v="0"/>
    <n v="0"/>
    <n v="0"/>
    <n v="0"/>
    <n v="0"/>
    <s v=""/>
    <s v=""/>
    <s v=""/>
  </r>
  <r>
    <n v="25"/>
    <s v="Herstellung"/>
    <x v="0"/>
    <x v="0"/>
    <s v="x"/>
    <s v="x"/>
    <s v="kalkulatorisch"/>
    <s v="Abschreibung"/>
    <s v="Hebetechnik"/>
    <m/>
    <x v="1"/>
    <n v="26"/>
    <s v="Betrieb"/>
    <n v="11"/>
    <n v="1"/>
    <m/>
    <n v="200"/>
    <n v="200"/>
    <n v="18.181818181818183"/>
    <n v="0.69930069930069938"/>
    <n v="1.9980019980019983E-2"/>
    <n v="9.9900099900099917E-3"/>
    <n v="7.6923076923076925"/>
    <s v=""/>
    <s v=""/>
    <s v=""/>
  </r>
  <r>
    <n v="26"/>
    <s v="Herstellung"/>
    <x v="0"/>
    <x v="0"/>
    <s v="x"/>
    <s v="x"/>
    <s v="kalkulatorisch"/>
    <s v="Abschreibung"/>
    <s v="Ablegerbeutensysteme Remontierung = Verlustrate / 75% erfolgsquote Abelgerbildung"/>
    <m/>
    <x v="1"/>
    <n v="26"/>
    <s v="WV"/>
    <n v="15"/>
    <n v="0.4"/>
    <m/>
    <n v="105.60000000000001"/>
    <n v="1098.2400000000002"/>
    <n v="73.216000000000022"/>
    <n v="2.8160000000000007"/>
    <n v="8.045714285714288E-2"/>
    <n v="4.022857142857144E-2"/>
    <n v="42.240000000000009"/>
    <s v=""/>
    <s v=""/>
    <s v=""/>
  </r>
  <r>
    <n v="27"/>
    <s v="Herstellung"/>
    <x v="0"/>
    <x v="0"/>
    <s v="x"/>
    <s v="x"/>
    <s v="pagatorisch"/>
    <s v="Material"/>
    <s v="Rähmchen Ableger"/>
    <s v="Honigerzeugergemeinschaft Süddeutschland w.V. / HEG Imker Shop GmbH  "/>
    <x v="1"/>
    <n v="26"/>
    <s v="WV"/>
    <n v="1"/>
    <n v="0.8"/>
    <m/>
    <n v="1.3"/>
    <m/>
    <n v="27.04"/>
    <n v="1.04"/>
    <n v="2.9714285714285714E-2"/>
    <n v="1.4857142857142857E-2"/>
    <n v="0"/>
    <s v=""/>
    <s v=""/>
    <s v=""/>
  </r>
  <r>
    <n v="28"/>
    <s v="Herstellung"/>
    <x v="0"/>
    <x v="0"/>
    <s v="x"/>
    <s v="x"/>
    <s v="pagatorisch"/>
    <s v="Material"/>
    <s v="Jungkönigin für Ableger"/>
    <m/>
    <x v="1"/>
    <n v="26"/>
    <s v="WV"/>
    <n v="1"/>
    <n v="0.4"/>
    <m/>
    <n v="28.799999999999997"/>
    <m/>
    <n v="299.52"/>
    <n v="11.52"/>
    <n v="0.32914285714285713"/>
    <n v="0.16457142857142856"/>
    <n v="0"/>
    <s v=""/>
    <s v=""/>
    <s v=""/>
  </r>
  <r>
    <n v="29"/>
    <s v="Herstellung"/>
    <x v="0"/>
    <x v="0"/>
    <s v="x"/>
    <s v="x"/>
    <s v="pagatorisch"/>
    <s v="Material"/>
    <s v="Futtermittel für Ableger"/>
    <m/>
    <x v="1"/>
    <n v="26"/>
    <s v="WV"/>
    <m/>
    <n v="4"/>
    <m/>
    <n v="1.8"/>
    <m/>
    <n v="187.20000000000002"/>
    <n v="7.2000000000000011"/>
    <n v="0.20571428571428574"/>
    <n v="0.10285714285714287"/>
    <n v="0"/>
    <s v=""/>
    <s v=""/>
    <s v=""/>
  </r>
  <r>
    <n v="30"/>
    <s v="Herstellung"/>
    <x v="0"/>
    <x v="0"/>
    <s v="x"/>
    <s v="x"/>
    <s v="kalkulatorisch"/>
    <s v="Arbeit"/>
    <s v="Eingriffe / Volk und Jahr Ableger"/>
    <m/>
    <x v="1"/>
    <n v="26"/>
    <s v="WV"/>
    <m/>
    <n v="2"/>
    <n v="5"/>
    <n v="14"/>
    <m/>
    <n v="60.666666666666657"/>
    <n v="2.333333333333333"/>
    <n v="6.6666666666666652E-2"/>
    <n v="3.3333333333333326E-2"/>
    <n v="0"/>
    <n v="0.16666666666666666"/>
    <s v=""/>
    <s v=""/>
  </r>
  <r>
    <n v="31"/>
    <s v="Herstellung"/>
    <x v="0"/>
    <x v="0"/>
    <s v="x"/>
    <s v="x"/>
    <s v="pagatorisch"/>
    <s v="Material"/>
    <s v="Rähmchenersatz"/>
    <s v="Honigerzeugergemeinschaft Süddeutschland w.V. / HEG Imker Shop GmbH  "/>
    <x v="1"/>
    <n v="26"/>
    <s v="WV"/>
    <m/>
    <n v="2"/>
    <m/>
    <n v="1.3"/>
    <m/>
    <n v="79.529411764705898"/>
    <n v="3.0588235294117654"/>
    <n v="8.73949579831933E-2"/>
    <n v="4.369747899159665E-2"/>
    <n v="0"/>
    <s v=""/>
    <s v=""/>
    <s v=""/>
  </r>
  <r>
    <n v="32"/>
    <s v="Herstellung"/>
    <x v="0"/>
    <x v="0"/>
    <s v="x"/>
    <s v="x"/>
    <s v="pagatorisch"/>
    <s v="Material"/>
    <s v="Werkzeuge (Smoker, Stockmeisel, Sprühflasche, Besen, Zurrgurt…...)"/>
    <m/>
    <x v="1"/>
    <n v="26"/>
    <s v="Betrieb"/>
    <n v="10"/>
    <m/>
    <m/>
    <n v="200"/>
    <m/>
    <n v="20"/>
    <n v="0.76923076923076927"/>
    <n v="2.197802197802198E-2"/>
    <n v="1.098901098901099E-2"/>
    <n v="0"/>
    <s v=""/>
    <s v=""/>
    <s v=""/>
  </r>
  <r>
    <n v="33"/>
    <s v="Herstellung"/>
    <x v="0"/>
    <x v="0"/>
    <s v="x"/>
    <s v="x"/>
    <s v="pagatorisch"/>
    <s v="Material"/>
    <s v="Schutzkleidung"/>
    <m/>
    <x v="1"/>
    <n v="26"/>
    <s v="Betrieb"/>
    <n v="5"/>
    <m/>
    <m/>
    <n v="100"/>
    <m/>
    <n v="20"/>
    <n v="0.76923076923076927"/>
    <n v="2.197802197802198E-2"/>
    <n v="1.098901098901099E-2"/>
    <n v="0"/>
    <s v=""/>
    <s v=""/>
    <s v=""/>
  </r>
  <r>
    <n v="34"/>
    <s v="Herstellung"/>
    <x v="0"/>
    <x v="0"/>
    <s v="x"/>
    <s v="x"/>
    <s v="pagatorisch"/>
    <s v="Material"/>
    <s v="Futtermittel"/>
    <s v="Interne Statistik Futtermittel LWG/IBI bezogen auf kg Trockenmasse"/>
    <x v="1"/>
    <n v="26"/>
    <s v="WV"/>
    <m/>
    <n v="15"/>
    <m/>
    <n v="1.8"/>
    <m/>
    <n v="825.88235294117646"/>
    <n v="31.764705882352942"/>
    <n v="0.90756302521008403"/>
    <n v="0.45378151260504201"/>
    <n v="0"/>
    <s v=""/>
    <s v=""/>
    <s v=""/>
  </r>
  <r>
    <n v="35"/>
    <s v="Herstellung"/>
    <x v="0"/>
    <x v="0"/>
    <s v="x"/>
    <s v="x"/>
    <s v="kalkulatorisch"/>
    <s v="KFZ"/>
    <s v="KFZ-Kosten"/>
    <s v="LWG IBI KFZ Kostenrechner nur PKW; 20 Völker /Stand"/>
    <x v="1"/>
    <n v="26"/>
    <s v="Betrieb"/>
    <m/>
    <n v="20"/>
    <m/>
    <n v="0.35"/>
    <m/>
    <n v="14"/>
    <n v="0.53846153846153844"/>
    <n v="1.5384615384615384E-2"/>
    <n v="7.6923076923076919E-3"/>
    <n v="0"/>
    <s v=""/>
    <s v=""/>
    <n v="4.3956043956043959E-2"/>
  </r>
  <r>
    <n v="36"/>
    <s v="Herstellung"/>
    <x v="0"/>
    <x v="0"/>
    <s v="x"/>
    <s v="x"/>
    <s v="kalkulatorisch"/>
    <s v="Arbeit"/>
    <s v="Eingriffe / Volk und Jahr"/>
    <m/>
    <x v="1"/>
    <n v="26"/>
    <s v="WV"/>
    <m/>
    <n v="10"/>
    <n v="10"/>
    <n v="14"/>
    <m/>
    <n v="713.72549019607857"/>
    <n v="27.450980392156868"/>
    <n v="0.78431372549019629"/>
    <n v="0.39215686274509814"/>
    <n v="0"/>
    <n v="1.9607843137254906"/>
    <s v=""/>
    <s v=""/>
  </r>
  <r>
    <n v="37"/>
    <s v="Herstellung"/>
    <x v="0"/>
    <x v="0"/>
    <s v="x"/>
    <s v="x"/>
    <s v="kalkulatorisch"/>
    <s v="Arbeit"/>
    <s v="Rüstzeit"/>
    <m/>
    <x v="1"/>
    <n v="26"/>
    <s v="Betrieb"/>
    <m/>
    <n v="20"/>
    <n v="15"/>
    <n v="14"/>
    <m/>
    <n v="70"/>
    <n v="2.6923076923076925"/>
    <n v="7.6923076923076927E-2"/>
    <n v="3.8461538461538464E-2"/>
    <n v="0"/>
    <n v="0.19230769230769232"/>
    <s v=""/>
    <s v=""/>
  </r>
  <r>
    <n v="38"/>
    <s v="Herstellung"/>
    <x v="0"/>
    <x v="0"/>
    <s v="x"/>
    <s v="x"/>
    <s v="kalkulatorisch"/>
    <s v="Arbeit"/>
    <s v="Fahrtzeit"/>
    <m/>
    <x v="1"/>
    <n v="26"/>
    <s v="Betrieb"/>
    <m/>
    <n v="20"/>
    <n v="2"/>
    <n v="14"/>
    <m/>
    <n v="9.3333333333333321"/>
    <n v="0.35897435897435892"/>
    <n v="1.0256410256410255E-2"/>
    <n v="5.1282051282051273E-3"/>
    <n v="0"/>
    <n v="2.564102564102564E-2"/>
    <s v=""/>
    <s v=""/>
  </r>
  <r>
    <n v="39"/>
    <s v="Herstellung"/>
    <x v="0"/>
    <x v="0"/>
    <s v="x"/>
    <s v="x"/>
    <s v="kalkulatorisch"/>
    <s v="Sozialversicherung"/>
    <s v="Sozialversicherung"/>
    <s v="https://www.destatis.de/DE/Themen/Arbeit/Arbeitskosten-Lohnnebenkosten/Tabellen/lohnkosten-deutschland.html"/>
    <x v="1"/>
    <n v="26"/>
    <s v="Betrieb"/>
    <m/>
    <m/>
    <m/>
    <n v="0.28999999999999998"/>
    <m/>
    <n v="247.58039215686276"/>
    <n v="9.5223227752639517"/>
    <n v="0.2720663650075415"/>
    <n v="0.13603318250377075"/>
    <n v="0"/>
    <s v=""/>
    <s v=""/>
    <s v=""/>
  </r>
  <r>
    <n v="40"/>
    <s v="Herstellung"/>
    <x v="0"/>
    <x v="0"/>
    <s v="x"/>
    <s v="x"/>
    <s v="kalkulatorisch"/>
    <s v="Raumkosten"/>
    <s v="Raumkosten"/>
    <s v="https://www.iwkoeln.de/fileadmin/user_upload/Studien/Gutachten/PDF/2023/IWIP_Gutachten_Industrieimmobilien.pdf"/>
    <x v="1"/>
    <n v="26"/>
    <s v="Betrieb"/>
    <n v="1"/>
    <n v="25"/>
    <m/>
    <n v="4.6100000000000003"/>
    <m/>
    <n v="1383.0000000000002"/>
    <n v="53.192307692307701"/>
    <n v="1.5197802197802199"/>
    <n v="0.75989010989010997"/>
    <n v="0"/>
    <s v=""/>
    <s v=""/>
    <s v=""/>
  </r>
  <r>
    <n v="41"/>
    <s v="Herstellung"/>
    <x v="0"/>
    <x v="0"/>
    <s v="x"/>
    <s v="x"/>
    <s v="kalkulatorisch"/>
    <s v="Raumkosten"/>
    <s v="Raumnebenkosten (Strom, Wasser, Heizung)"/>
    <s v="https://www.iwkoeln.de/fileadmin/user_upload/Studien/Gutachten/PDF/2023/IWIP_Gutachten_Industrieimmobilien.pdf"/>
    <x v="1"/>
    <n v="26"/>
    <s v="Betrieb"/>
    <n v="1"/>
    <n v="25"/>
    <m/>
    <n v="9.2200000000000004E-2"/>
    <m/>
    <n v="27.660000000000004"/>
    <n v="1.0638461538461539"/>
    <n v="3.0395604395604396E-2"/>
    <n v="1.5197802197802198E-2"/>
    <n v="0"/>
    <s v=""/>
    <s v=""/>
    <s v=""/>
  </r>
  <r>
    <n v="42"/>
    <s v="Herstellung"/>
    <x v="0"/>
    <x v="0"/>
    <s v="x"/>
    <s v="x"/>
    <s v="kalkulatorisch"/>
    <s v="Kapital"/>
    <s v="Kapital und Wagnis"/>
    <s v="LfL"/>
    <x v="1"/>
    <n v="26"/>
    <s v="Betrieb"/>
    <m/>
    <n v="4686.7670588235296"/>
    <m/>
    <n v="0.03"/>
    <m/>
    <n v="140.60301176470588"/>
    <n v="5.4078081447963804"/>
    <n v="0.15450880413703943"/>
    <n v="7.7254402068519717E-2"/>
    <n v="0"/>
    <s v=""/>
    <s v=""/>
    <s v=""/>
  </r>
  <r>
    <n v="43"/>
    <s v="Herstellung"/>
    <x v="0"/>
    <x v="0"/>
    <s v="x"/>
    <s v="x"/>
    <s v="pagatorisch"/>
    <s v="Material"/>
    <s v="Jungkönigin"/>
    <m/>
    <x v="2"/>
    <n v="71"/>
    <s v="WV"/>
    <n v="2"/>
    <m/>
    <m/>
    <n v="27.900000000000002"/>
    <m/>
    <n v="990.45"/>
    <n v="13.950000000000001"/>
    <n v="0.39857142857142858"/>
    <n v="0.19928571428571429"/>
    <n v="0"/>
    <s v=""/>
    <s v=""/>
    <s v=""/>
  </r>
  <r>
    <n v="44"/>
    <s v="Herstellung"/>
    <x v="0"/>
    <x v="0"/>
    <s v="x"/>
    <s v="x"/>
    <s v="kalkulatorisch"/>
    <s v="Abschreibung"/>
    <s v="Beutensysteme komplett inkl. Rähmchen, Beutenbock inkl. Mengendegression"/>
    <m/>
    <x v="2"/>
    <n v="71"/>
    <s v="WV"/>
    <n v="15"/>
    <m/>
    <m/>
    <n v="255.75"/>
    <n v="21362.647058823532"/>
    <n v="1424.1764705882354"/>
    <n v="20.058823529411764"/>
    <n v="0.57310924369747895"/>
    <n v="0.28655462184873948"/>
    <n v="300.88235294117652"/>
    <s v=""/>
    <s v=""/>
    <s v=""/>
  </r>
  <r>
    <n v="45"/>
    <s v="Herstellung"/>
    <x v="0"/>
    <x v="0"/>
    <s v="x"/>
    <s v="x"/>
    <s v="kalkulatorisch"/>
    <s v="Abschreibung"/>
    <s v="Stockwaage"/>
    <m/>
    <x v="2"/>
    <n v="71"/>
    <s v="Betrieb"/>
    <n v="10"/>
    <n v="1"/>
    <m/>
    <n v="800"/>
    <n v="800"/>
    <n v="80"/>
    <n v="1.1267605633802817"/>
    <n v="3.2193158953722337E-2"/>
    <n v="1.6096579476861168E-2"/>
    <n v="11.267605633802816"/>
    <s v=""/>
    <s v=""/>
    <s v=""/>
  </r>
  <r>
    <n v="46"/>
    <s v="Herstellung"/>
    <x v="0"/>
    <x v="0"/>
    <s v="x"/>
    <s v="x"/>
    <s v="kalkulatorisch"/>
    <s v="Abschreibung"/>
    <s v="Hebetechnik"/>
    <m/>
    <x v="2"/>
    <n v="71"/>
    <s v="Betrieb"/>
    <n v="11"/>
    <n v="1"/>
    <m/>
    <n v="1600"/>
    <n v="1600"/>
    <n v="145.45454545454547"/>
    <n v="2.0486555697823303"/>
    <n v="5.8533016279495149E-2"/>
    <n v="2.9266508139747575E-2"/>
    <n v="22.535211267605632"/>
    <s v=""/>
    <s v=""/>
    <s v=""/>
  </r>
  <r>
    <n v="47"/>
    <s v="Herstellung"/>
    <x v="0"/>
    <x v="0"/>
    <s v="x"/>
    <s v="x"/>
    <s v="kalkulatorisch"/>
    <s v="Abschreibung"/>
    <s v="Ablegerbeutensysteme Remontierung = Verlustrate / 75% erfolgsquote Abelgerbildung"/>
    <m/>
    <x v="2"/>
    <n v="71"/>
    <s v="WV"/>
    <n v="15"/>
    <n v="0.4"/>
    <m/>
    <n v="102.30000000000001"/>
    <n v="2905.3200000000006"/>
    <n v="193.68800000000005"/>
    <n v="2.7280000000000006"/>
    <n v="7.7942857142857161E-2"/>
    <n v="3.897142857142858E-2"/>
    <n v="40.920000000000009"/>
    <s v=""/>
    <s v=""/>
    <s v=""/>
  </r>
  <r>
    <n v="48"/>
    <s v="Herstellung"/>
    <x v="0"/>
    <x v="0"/>
    <s v="x"/>
    <s v="x"/>
    <s v="pagatorisch"/>
    <s v="Material"/>
    <s v="Rähmchen Ableger"/>
    <s v="Honigerzeugergemeinschaft Süddeutschland w.V. / HEG Imker Shop GmbH  "/>
    <x v="2"/>
    <n v="71"/>
    <s v="WV"/>
    <n v="1"/>
    <n v="0.8"/>
    <m/>
    <n v="1.3"/>
    <m/>
    <n v="73.84"/>
    <n v="1.04"/>
    <n v="2.9714285714285714E-2"/>
    <n v="1.4857142857142857E-2"/>
    <n v="0"/>
    <s v=""/>
    <s v=""/>
    <s v=""/>
  </r>
  <r>
    <n v="49"/>
    <s v="Herstellung"/>
    <x v="0"/>
    <x v="0"/>
    <s v="x"/>
    <s v="x"/>
    <s v="pagatorisch"/>
    <s v="Material"/>
    <s v="Jungkönigin für Ableger"/>
    <m/>
    <x v="2"/>
    <n v="71"/>
    <s v="WV"/>
    <n v="1"/>
    <n v="0.4"/>
    <m/>
    <n v="27.900000000000002"/>
    <m/>
    <n v="792.36000000000013"/>
    <n v="11.160000000000002"/>
    <n v="0.31885714285714289"/>
    <n v="0.15942857142857145"/>
    <n v="0"/>
    <s v=""/>
    <s v=""/>
    <s v=""/>
  </r>
  <r>
    <n v="50"/>
    <s v="Herstellung"/>
    <x v="0"/>
    <x v="0"/>
    <s v="x"/>
    <s v="x"/>
    <s v="pagatorisch"/>
    <s v="Material"/>
    <s v="Futtermittel für Ableger"/>
    <m/>
    <x v="2"/>
    <n v="71"/>
    <s v="WV"/>
    <m/>
    <n v="4"/>
    <m/>
    <n v="1.8"/>
    <m/>
    <n v="511.2"/>
    <n v="7.2"/>
    <n v="0.20571428571428571"/>
    <n v="0.10285714285714286"/>
    <n v="0"/>
    <s v=""/>
    <s v=""/>
    <s v=""/>
  </r>
  <r>
    <n v="51"/>
    <s v="Herstellung"/>
    <x v="0"/>
    <x v="0"/>
    <s v="x"/>
    <s v="x"/>
    <s v="kalkulatorisch"/>
    <s v="Arbeit"/>
    <s v="Eingriffe / Volk und Jahr Ableger"/>
    <m/>
    <x v="2"/>
    <n v="71"/>
    <s v="WV"/>
    <m/>
    <n v="2"/>
    <n v="5"/>
    <n v="14"/>
    <m/>
    <n v="165.66666666666666"/>
    <n v="2.333333333333333"/>
    <n v="6.6666666666666652E-2"/>
    <n v="3.3333333333333326E-2"/>
    <n v="0"/>
    <n v="0.16666666666666666"/>
    <s v=""/>
    <s v=""/>
  </r>
  <r>
    <n v="52"/>
    <s v="Herstellung"/>
    <x v="0"/>
    <x v="0"/>
    <s v="x"/>
    <s v="x"/>
    <s v="pagatorisch"/>
    <s v="Material"/>
    <s v="Rähmchenersatz"/>
    <s v="Honigerzeugergemeinschaft Süddeutschland w.V. / HEG Imker Shop GmbH  "/>
    <x v="2"/>
    <n v="71"/>
    <s v="WV"/>
    <m/>
    <n v="2"/>
    <m/>
    <n v="1.3"/>
    <m/>
    <n v="217.1764705882353"/>
    <n v="3.0588235294117649"/>
    <n v="8.7394957983193286E-2"/>
    <n v="4.3697478991596643E-2"/>
    <n v="0"/>
    <s v=""/>
    <s v=""/>
    <s v=""/>
  </r>
  <r>
    <n v="53"/>
    <s v="Herstellung"/>
    <x v="0"/>
    <x v="0"/>
    <s v="x"/>
    <s v="x"/>
    <s v="pagatorisch"/>
    <s v="Material"/>
    <s v="Werkzeuge (Smoker, Stockmeisel, Sprühflasche, Besen, Zurrgurt…...)"/>
    <m/>
    <x v="2"/>
    <n v="71"/>
    <s v="Betrieb"/>
    <n v="10"/>
    <m/>
    <m/>
    <n v="600"/>
    <m/>
    <n v="60"/>
    <n v="0.84507042253521125"/>
    <n v="2.4144869215291749E-2"/>
    <n v="1.2072434607645875E-2"/>
    <n v="0"/>
    <s v=""/>
    <s v=""/>
    <s v=""/>
  </r>
  <r>
    <n v="54"/>
    <s v="Herstellung"/>
    <x v="0"/>
    <x v="0"/>
    <s v="x"/>
    <s v="x"/>
    <s v="pagatorisch"/>
    <s v="Material"/>
    <s v="Schutzkleidung"/>
    <m/>
    <x v="2"/>
    <n v="71"/>
    <s v="Betrieb"/>
    <n v="5"/>
    <m/>
    <m/>
    <n v="200"/>
    <m/>
    <n v="40"/>
    <n v="0.56338028169014087"/>
    <n v="1.6096579476861168E-2"/>
    <n v="8.0482897384305842E-3"/>
    <n v="0"/>
    <s v=""/>
    <s v=""/>
    <s v=""/>
  </r>
  <r>
    <n v="55"/>
    <s v="Herstellung"/>
    <x v="0"/>
    <x v="0"/>
    <s v="x"/>
    <s v="x"/>
    <s v="pagatorisch"/>
    <s v="Material"/>
    <s v="Futtermittel"/>
    <s v="Interne Statistik Futtermittel LWG/IBI bezogen auf kg Trockenmasse"/>
    <x v="2"/>
    <n v="71"/>
    <s v="WV"/>
    <m/>
    <n v="15"/>
    <m/>
    <n v="1.8"/>
    <m/>
    <n v="2255.294117647059"/>
    <n v="31.764705882352946"/>
    <n v="0.90756302521008414"/>
    <n v="0.45378151260504207"/>
    <n v="0"/>
    <s v=""/>
    <s v=""/>
    <s v=""/>
  </r>
  <r>
    <n v="56"/>
    <s v="Herstellung"/>
    <x v="0"/>
    <x v="0"/>
    <s v="x"/>
    <s v="x"/>
    <s v="kalkulatorisch"/>
    <s v="KFZ"/>
    <s v="KFZ-Kosten"/>
    <s v="LWG IBI KFZ Kostenrechner PKW und Hänger; 20 Völker/Stand"/>
    <x v="2"/>
    <n v="71"/>
    <s v="Betrieb"/>
    <m/>
    <n v="40"/>
    <m/>
    <n v="0.52"/>
    <m/>
    <n v="41.6"/>
    <n v="0.58591549295774648"/>
    <n v="1.6740442655935613E-2"/>
    <n v="8.3702213279678063E-3"/>
    <n v="0"/>
    <s v=""/>
    <s v=""/>
    <n v="3.219315895372233E-2"/>
  </r>
  <r>
    <n v="57"/>
    <s v="Herstellung"/>
    <x v="0"/>
    <x v="0"/>
    <s v="x"/>
    <s v="x"/>
    <s v="kalkulatorisch"/>
    <s v="Arbeit"/>
    <s v="Eingriffe / Volk und Jahr"/>
    <m/>
    <x v="2"/>
    <n v="71"/>
    <s v="WV"/>
    <m/>
    <n v="10"/>
    <n v="10"/>
    <n v="14"/>
    <m/>
    <n v="1949.0196078431375"/>
    <n v="27.450980392156865"/>
    <n v="0.78431372549019618"/>
    <n v="0.39215686274509809"/>
    <n v="0"/>
    <n v="1.9607843137254903"/>
    <s v=""/>
    <s v=""/>
  </r>
  <r>
    <n v="58"/>
    <s v="Herstellung"/>
    <x v="0"/>
    <x v="0"/>
    <s v="x"/>
    <s v="x"/>
    <s v="kalkulatorisch"/>
    <s v="Arbeit"/>
    <s v="Rüstzeit"/>
    <m/>
    <x v="2"/>
    <n v="71"/>
    <s v="Betrieb"/>
    <m/>
    <n v="40"/>
    <n v="15"/>
    <n v="14"/>
    <m/>
    <n v="140"/>
    <n v="1.971830985915493"/>
    <n v="5.6338028169014086E-2"/>
    <n v="2.8169014084507043E-2"/>
    <n v="0"/>
    <n v="0.14084507042253522"/>
    <s v=""/>
    <s v=""/>
  </r>
  <r>
    <n v="59"/>
    <s v="Herstellung"/>
    <x v="0"/>
    <x v="0"/>
    <s v="x"/>
    <s v="x"/>
    <s v="kalkulatorisch"/>
    <s v="Arbeit"/>
    <s v="Fahrtzeit"/>
    <m/>
    <x v="2"/>
    <n v="71"/>
    <s v="Betrieb"/>
    <m/>
    <n v="40"/>
    <n v="2"/>
    <n v="14"/>
    <m/>
    <n v="18.666666666666664"/>
    <n v="0.26291079812206569"/>
    <n v="7.5117370892018769E-3"/>
    <n v="3.7558685446009384E-3"/>
    <n v="0"/>
    <n v="1.8779342723004695E-2"/>
    <s v=""/>
    <s v=""/>
  </r>
  <r>
    <n v="60"/>
    <s v="Herstellung"/>
    <x v="0"/>
    <x v="0"/>
    <s v="x"/>
    <s v="x"/>
    <s v="kalkulatorisch"/>
    <s v="Sozialversicherung"/>
    <s v="Sozialversicherung"/>
    <s v="https://www.destatis.de/DE/Themen/Arbeit/Arbeitskosten-Lohnnebenkosten/Tabellen/lohnkosten-deutschland.html"/>
    <x v="2"/>
    <n v="71"/>
    <s v="Betrieb"/>
    <m/>
    <m/>
    <m/>
    <n v="0.28999999999999998"/>
    <m/>
    <n v="659.27235294117634"/>
    <n v="9.2855260977630465"/>
    <n v="0.26530074565037276"/>
    <n v="0.13265037282518638"/>
    <n v="0"/>
    <s v=""/>
    <s v=""/>
    <s v=""/>
  </r>
  <r>
    <n v="61"/>
    <s v="Herstellung"/>
    <x v="0"/>
    <x v="0"/>
    <s v="x"/>
    <s v="x"/>
    <s v="kalkulatorisch"/>
    <s v="Raumkosten"/>
    <s v="Raumkosten"/>
    <s v="https://www.iwkoeln.de/fileadmin/user_upload/Studien/Gutachten/PDF/2023/IWIP_Gutachten_Industrieimmobilien.pdf"/>
    <x v="2"/>
    <n v="71"/>
    <s v="Betrieb"/>
    <n v="1"/>
    <n v="90"/>
    <m/>
    <n v="4.6100000000000003"/>
    <m/>
    <n v="4978.8"/>
    <n v="70.123943661971836"/>
    <n v="2.0035412474849097"/>
    <n v="1.0017706237424548"/>
    <n v="0"/>
    <s v=""/>
    <s v=""/>
    <s v=""/>
  </r>
  <r>
    <n v="62"/>
    <s v="Herstellung"/>
    <x v="0"/>
    <x v="0"/>
    <s v="x"/>
    <s v="x"/>
    <s v="kalkulatorisch"/>
    <s v="Raumkosten"/>
    <s v="Raumnebenkosten (Strom, Wasser, Heizung)"/>
    <s v="https://www.iwkoeln.de/fileadmin/user_upload/Studien/Gutachten/PDF/2023/IWIP_Gutachten_Industrieimmobilien.pdf"/>
    <x v="2"/>
    <n v="71"/>
    <s v="Betrieb"/>
    <n v="1"/>
    <n v="90"/>
    <m/>
    <n v="9.2200000000000004E-2"/>
    <m/>
    <n v="99.575999999999993"/>
    <n v="1.4024788732394364"/>
    <n v="4.0070824949698186E-2"/>
    <n v="2.0035412474849093E-2"/>
    <n v="0"/>
    <s v=""/>
    <s v=""/>
    <s v=""/>
  </r>
  <r>
    <n v="63"/>
    <s v="Herstellung"/>
    <x v="0"/>
    <x v="0"/>
    <s v="x"/>
    <s v="x"/>
    <s v="kalkulatorisch"/>
    <s v="Kapital"/>
    <s v="Kapital und Wagnis"/>
    <s v="LfL"/>
    <x v="2"/>
    <n v="71"/>
    <s v="Betrieb"/>
    <m/>
    <n v="13333.983529411766"/>
    <m/>
    <n v="0.03"/>
    <m/>
    <n v="400.01950588235297"/>
    <n v="5.6340775476387739"/>
    <n v="0.16097364421825069"/>
    <n v="8.0486822109125347E-2"/>
    <n v="0"/>
    <s v=""/>
    <s v=""/>
    <s v=""/>
  </r>
  <r>
    <n v="64"/>
    <s v="Herstellung"/>
    <x v="0"/>
    <x v="0"/>
    <s v="x"/>
    <s v="x"/>
    <s v="pagatorisch"/>
    <s v="Material"/>
    <s v="Jungkönigin"/>
    <m/>
    <x v="3"/>
    <n v="150"/>
    <s v="WV"/>
    <n v="2"/>
    <m/>
    <m/>
    <n v="27"/>
    <m/>
    <n v="2025"/>
    <n v="13.5"/>
    <n v="0.38571428571428573"/>
    <n v="0.19285714285714287"/>
    <n v="0"/>
    <s v=""/>
    <s v=""/>
    <s v=""/>
  </r>
  <r>
    <n v="65"/>
    <s v="Herstellung"/>
    <x v="0"/>
    <x v="0"/>
    <s v="x"/>
    <s v="x"/>
    <s v="kalkulatorisch"/>
    <s v="Abschreibung"/>
    <s v="Beutensysteme komplett inkl. Rähmchen, Beutenbock inkl. Mengendegression"/>
    <m/>
    <x v="3"/>
    <n v="150"/>
    <s v="WV"/>
    <n v="15"/>
    <m/>
    <m/>
    <n v="247.5"/>
    <n v="43676.470588235294"/>
    <n v="2911.7647058823527"/>
    <n v="19.411764705882351"/>
    <n v="0.55462184873949572"/>
    <n v="0.27731092436974786"/>
    <n v="291.1764705882353"/>
    <s v=""/>
    <s v=""/>
    <s v=""/>
  </r>
  <r>
    <n v="66"/>
    <s v="Herstellung"/>
    <x v="0"/>
    <x v="0"/>
    <s v="x"/>
    <s v="x"/>
    <s v="kalkulatorisch"/>
    <s v="Abschreibung"/>
    <s v="Stockwaage"/>
    <m/>
    <x v="3"/>
    <n v="150"/>
    <s v="Betrieb"/>
    <n v="10"/>
    <n v="2"/>
    <m/>
    <n v="800"/>
    <n v="1600"/>
    <n v="160"/>
    <n v="1.0666666666666667"/>
    <n v="3.0476190476190476E-2"/>
    <n v="1.5238095238095238E-2"/>
    <n v="10.666666666666666"/>
    <s v=""/>
    <s v=""/>
    <s v=""/>
  </r>
  <r>
    <n v="67"/>
    <s v="Herstellung"/>
    <x v="0"/>
    <x v="0"/>
    <s v="x"/>
    <s v="x"/>
    <s v="kalkulatorisch"/>
    <s v="Abschreibung"/>
    <s v="Hebetechnik"/>
    <m/>
    <x v="3"/>
    <n v="150"/>
    <s v="Betrieb"/>
    <n v="11"/>
    <n v="1"/>
    <m/>
    <n v="4399"/>
    <n v="4399"/>
    <n v="399.90909090909093"/>
    <n v="2.666060606060606"/>
    <n v="7.617316017316017E-2"/>
    <n v="3.8086580086580085E-2"/>
    <n v="29.326666666666668"/>
    <s v=""/>
    <s v=""/>
    <s v=""/>
  </r>
  <r>
    <n v="68"/>
    <s v="Herstellung"/>
    <x v="0"/>
    <x v="0"/>
    <s v="x"/>
    <s v="x"/>
    <s v="kalkulatorisch"/>
    <s v="Abschreibung"/>
    <s v="Ablegerbeutensysteme Remontierung = Verlustrate / 75% erfolgsquote Abelgerbildung"/>
    <m/>
    <x v="3"/>
    <n v="150"/>
    <s v="WV"/>
    <n v="15"/>
    <n v="0.4"/>
    <m/>
    <n v="99"/>
    <n v="5940"/>
    <n v="396"/>
    <n v="2.64"/>
    <n v="7.5428571428571428E-2"/>
    <n v="3.7714285714285714E-2"/>
    <n v="39.6"/>
    <s v=""/>
    <s v=""/>
    <s v=""/>
  </r>
  <r>
    <n v="69"/>
    <s v="Herstellung"/>
    <x v="0"/>
    <x v="0"/>
    <s v="x"/>
    <s v="x"/>
    <s v="pagatorisch"/>
    <s v="Material"/>
    <s v="Rähmchen Ableger"/>
    <s v="Honigerzeugergemeinschaft Süddeutschland w.V. / HEG Imker Shop GmbH  "/>
    <x v="3"/>
    <n v="150"/>
    <s v="WV"/>
    <n v="1"/>
    <n v="0.8"/>
    <m/>
    <n v="1.3"/>
    <m/>
    <n v="156"/>
    <n v="1.04"/>
    <n v="2.9714285714285714E-2"/>
    <n v="1.4857142857142857E-2"/>
    <n v="0"/>
    <s v=""/>
    <s v=""/>
    <s v=""/>
  </r>
  <r>
    <n v="70"/>
    <s v="Herstellung"/>
    <x v="0"/>
    <x v="0"/>
    <s v="x"/>
    <s v="x"/>
    <s v="pagatorisch"/>
    <s v="Material"/>
    <s v="Jungkönigin für Ableger"/>
    <m/>
    <x v="3"/>
    <n v="150"/>
    <s v="WV"/>
    <n v="1"/>
    <n v="0.4"/>
    <m/>
    <n v="27"/>
    <m/>
    <n v="1620"/>
    <n v="10.8"/>
    <n v="0.30857142857142861"/>
    <n v="0.1542857142857143"/>
    <n v="0"/>
    <s v=""/>
    <s v=""/>
    <s v=""/>
  </r>
  <r>
    <n v="71"/>
    <s v="Herstellung"/>
    <x v="0"/>
    <x v="0"/>
    <s v="x"/>
    <s v="x"/>
    <s v="pagatorisch"/>
    <s v="Material"/>
    <s v="Futtermittel für Ableger"/>
    <m/>
    <x v="3"/>
    <n v="150"/>
    <s v="WV"/>
    <m/>
    <n v="4"/>
    <m/>
    <n v="1.8"/>
    <m/>
    <n v="1080"/>
    <n v="7.2"/>
    <n v="0.20571428571428571"/>
    <n v="0.10285714285714286"/>
    <n v="0"/>
    <s v=""/>
    <s v=""/>
    <s v=""/>
  </r>
  <r>
    <n v="72"/>
    <s v="Herstellung"/>
    <x v="0"/>
    <x v="0"/>
    <s v="x"/>
    <s v="x"/>
    <s v="kalkulatorisch"/>
    <s v="Arbeit"/>
    <s v="Eingriffe / Volk und Jahr Ableger"/>
    <m/>
    <x v="3"/>
    <n v="150"/>
    <s v="WV"/>
    <m/>
    <n v="2"/>
    <n v="5"/>
    <n v="14"/>
    <m/>
    <n v="349.99999999999994"/>
    <n v="2.333333333333333"/>
    <n v="6.6666666666666652E-2"/>
    <n v="3.3333333333333326E-2"/>
    <n v="0"/>
    <n v="0.16666666666666663"/>
    <s v=""/>
    <s v=""/>
  </r>
  <r>
    <n v="73"/>
    <s v="Herstellung"/>
    <x v="0"/>
    <x v="0"/>
    <s v="x"/>
    <s v="x"/>
    <s v="pagatorisch"/>
    <s v="Material"/>
    <s v="Rähmchenersatz"/>
    <s v="Honigerzeugergemeinschaft Süddeutschland w.V. / HEG Imker Shop GmbH  "/>
    <x v="3"/>
    <n v="150"/>
    <s v="WV"/>
    <m/>
    <n v="2"/>
    <m/>
    <n v="1.3"/>
    <m/>
    <n v="458.8235294117647"/>
    <n v="3.0588235294117645"/>
    <n v="8.7394957983193272E-2"/>
    <n v="4.3697478991596636E-2"/>
    <n v="0"/>
    <s v=""/>
    <s v=""/>
    <s v=""/>
  </r>
  <r>
    <n v="74"/>
    <s v="Herstellung"/>
    <x v="0"/>
    <x v="0"/>
    <s v="x"/>
    <s v="x"/>
    <s v="pagatorisch"/>
    <s v="Material"/>
    <s v="Werkzeuge (Smoker, Stockmeisel, Sprühflasche, Besen, Zurrgurt…...)"/>
    <m/>
    <x v="3"/>
    <n v="150"/>
    <s v="Betrieb"/>
    <n v="10"/>
    <m/>
    <m/>
    <n v="1200"/>
    <m/>
    <n v="120"/>
    <n v="0.8"/>
    <n v="2.2857142857142857E-2"/>
    <n v="1.1428571428571429E-2"/>
    <n v="0"/>
    <s v=""/>
    <s v=""/>
    <s v=""/>
  </r>
  <r>
    <n v="75"/>
    <s v="Herstellung"/>
    <x v="0"/>
    <x v="0"/>
    <s v="x"/>
    <s v="x"/>
    <s v="pagatorisch"/>
    <s v="Material"/>
    <s v="Schutzkleidung"/>
    <m/>
    <x v="3"/>
    <n v="150"/>
    <s v="Betrieb"/>
    <n v="5"/>
    <m/>
    <m/>
    <n v="300"/>
    <m/>
    <n v="60"/>
    <n v="0.4"/>
    <n v="1.1428571428571429E-2"/>
    <n v="5.7142857142857143E-3"/>
    <n v="0"/>
    <s v=""/>
    <s v=""/>
    <s v=""/>
  </r>
  <r>
    <n v="76"/>
    <s v="Herstellung"/>
    <x v="0"/>
    <x v="0"/>
    <s v="x"/>
    <s v="x"/>
    <s v="pagatorisch"/>
    <s v="Material"/>
    <s v="Futtermittel"/>
    <s v="Interne Statistik Futtermittel LWG/IBI bezogen auf kg Trockenmasse"/>
    <x v="3"/>
    <n v="150"/>
    <s v="WV"/>
    <m/>
    <n v="15"/>
    <m/>
    <n v="1.8"/>
    <m/>
    <n v="4764.7058823529414"/>
    <n v="31.764705882352942"/>
    <n v="0.90756302521008403"/>
    <n v="0.45378151260504201"/>
    <n v="0"/>
    <s v=""/>
    <s v=""/>
    <s v=""/>
  </r>
  <r>
    <n v="77"/>
    <s v="Herstellung"/>
    <x v="0"/>
    <x v="0"/>
    <s v="x"/>
    <s v="x"/>
    <s v="kalkulatorisch"/>
    <s v="KFZ"/>
    <s v="KFZ-Kosten"/>
    <s v="LWG IBI KFZ Kostenrechner PKW und Hänger; 20 Völker/Stand"/>
    <x v="3"/>
    <n v="150"/>
    <s v="Betrieb"/>
    <m/>
    <n v="80"/>
    <m/>
    <n v="0.52"/>
    <m/>
    <n v="83.2"/>
    <n v="0.55466666666666664"/>
    <n v="1.5847619047619048E-2"/>
    <n v="7.9238095238095239E-3"/>
    <n v="0"/>
    <s v=""/>
    <s v=""/>
    <n v="3.0476190476190476E-2"/>
  </r>
  <r>
    <n v="78"/>
    <s v="Herstellung"/>
    <x v="0"/>
    <x v="0"/>
    <s v="x"/>
    <s v="x"/>
    <s v="kalkulatorisch"/>
    <s v="Arbeit"/>
    <s v="Eingriffe / Volk und Jahr"/>
    <m/>
    <x v="3"/>
    <n v="150"/>
    <s v="WV"/>
    <m/>
    <n v="10"/>
    <n v="10"/>
    <n v="14"/>
    <m/>
    <n v="4117.6470588235297"/>
    <n v="27.450980392156865"/>
    <n v="0.78431372549019618"/>
    <n v="0.39215686274509809"/>
    <n v="0"/>
    <n v="1.9607843137254903"/>
    <s v=""/>
    <s v=""/>
  </r>
  <r>
    <n v="79"/>
    <s v="Herstellung"/>
    <x v="0"/>
    <x v="0"/>
    <s v="x"/>
    <s v="x"/>
    <s v="kalkulatorisch"/>
    <s v="Arbeit"/>
    <s v="Rüstzeit"/>
    <m/>
    <x v="3"/>
    <n v="150"/>
    <s v="Betrieb"/>
    <m/>
    <n v="80"/>
    <n v="15"/>
    <n v="14"/>
    <m/>
    <n v="280"/>
    <n v="1.8666666666666667"/>
    <n v="5.3333333333333337E-2"/>
    <n v="2.6666666666666668E-2"/>
    <n v="0"/>
    <n v="0.13333333333333333"/>
    <s v=""/>
    <s v=""/>
  </r>
  <r>
    <n v="80"/>
    <s v="Herstellung"/>
    <x v="0"/>
    <x v="0"/>
    <s v="x"/>
    <s v="x"/>
    <s v="kalkulatorisch"/>
    <s v="Arbeit"/>
    <s v="Fahrtzeit"/>
    <m/>
    <x v="3"/>
    <n v="150"/>
    <s v="Betrieb"/>
    <m/>
    <n v="80"/>
    <n v="2"/>
    <n v="14"/>
    <m/>
    <n v="37.333333333333329"/>
    <n v="0.24888888888888885"/>
    <n v="7.1111111111111097E-3"/>
    <n v="3.5555555555555549E-3"/>
    <n v="0"/>
    <n v="1.7777777777777778E-2"/>
    <s v=""/>
    <s v=""/>
  </r>
  <r>
    <n v="81"/>
    <s v="Herstellung"/>
    <x v="0"/>
    <x v="0"/>
    <s v="x"/>
    <s v="x"/>
    <s v="kalkulatorisch"/>
    <s v="Sozialversicherung"/>
    <s v="Sozialversicherung"/>
    <s v="https://www.destatis.de/DE/Themen/Arbeit/Arbeitskosten-Lohnnebenkosten/Tabellen/lohnkosten-deutschland.html"/>
    <x v="3"/>
    <n v="150"/>
    <s v="Betrieb"/>
    <m/>
    <m/>
    <m/>
    <n v="0.28999999999999998"/>
    <m/>
    <n v="1387.6443137254901"/>
    <n v="9.2509620915032666"/>
    <n v="0.26431320261437907"/>
    <n v="0.13215660130718954"/>
    <n v="0"/>
    <s v=""/>
    <s v=""/>
    <s v=""/>
  </r>
  <r>
    <n v="82"/>
    <s v="Herstellung"/>
    <x v="0"/>
    <x v="0"/>
    <s v="x"/>
    <s v="x"/>
    <s v="kalkulatorisch"/>
    <s v="Raumkosten"/>
    <s v="Raumkosten"/>
    <s v="https://www.iwkoeln.de/fileadmin/user_upload/Studien/Gutachten/PDF/2023/IWIP_Gutachten_Industrieimmobilien.pdf"/>
    <x v="3"/>
    <n v="150"/>
    <s v="Betrieb"/>
    <n v="1"/>
    <n v="110"/>
    <m/>
    <n v="4.6100000000000003"/>
    <m/>
    <n v="6085.2000000000007"/>
    <n v="40.568000000000005"/>
    <n v="1.1590857142857145"/>
    <n v="0.57954285714285725"/>
    <n v="0"/>
    <s v=""/>
    <s v=""/>
    <s v=""/>
  </r>
  <r>
    <n v="83"/>
    <s v="Herstellung"/>
    <x v="0"/>
    <x v="0"/>
    <s v="x"/>
    <s v="x"/>
    <s v="kalkulatorisch"/>
    <s v="Raumkosten"/>
    <s v="Raumnebenkosten (Strom, Wasser, Heizung)"/>
    <s v="https://www.iwkoeln.de/fileadmin/user_upload/Studien/Gutachten/PDF/2023/IWIP_Gutachten_Industrieimmobilien.pdf"/>
    <x v="3"/>
    <n v="150"/>
    <s v="Betrieb"/>
    <n v="1"/>
    <n v="110"/>
    <m/>
    <n v="9.2200000000000004E-2"/>
    <m/>
    <n v="121.70400000000001"/>
    <n v="0.81136000000000008"/>
    <n v="2.3181714285714288E-2"/>
    <n v="1.1590857142857144E-2"/>
    <n v="0"/>
    <s v=""/>
    <s v=""/>
    <s v=""/>
  </r>
  <r>
    <n v="84"/>
    <s v="Herstellung"/>
    <x v="0"/>
    <x v="0"/>
    <s v="x"/>
    <s v="x"/>
    <s v="kalkulatorisch"/>
    <s v="Kapital"/>
    <s v="Kapital und Wagnis"/>
    <s v="LfL"/>
    <x v="3"/>
    <n v="150"/>
    <s v="Betrieb"/>
    <m/>
    <n v="27807.735294117647"/>
    <m/>
    <n v="0.03"/>
    <m/>
    <n v="834.23205882352943"/>
    <n v="5.5615470588235292"/>
    <n v="0.15890134453781513"/>
    <n v="7.9450672268907563E-2"/>
    <n v="0"/>
    <s v=""/>
    <s v=""/>
    <s v=""/>
  </r>
  <r>
    <n v="85"/>
    <s v="Herstellung"/>
    <x v="1"/>
    <x v="0"/>
    <s v="x"/>
    <s v="x"/>
    <s v="pagatorisch"/>
    <s v="Material"/>
    <s v="Tierarzneimittel inkl. Applikatoren"/>
    <s v="LWG/IBI: Kosten Varroakonzepte - TAM orientiertes Konzept mit 2xAS/Nheider und OS/Träufel"/>
    <x v="0"/>
    <n v="6"/>
    <s v="WV"/>
    <m/>
    <n v="1"/>
    <m/>
    <n v="7"/>
    <m/>
    <n v="49.411764705882355"/>
    <n v="8.2352941176470598"/>
    <n v="0.23529411764705885"/>
    <n v="0.11764705882352942"/>
    <n v="0"/>
    <s v=""/>
    <s v=""/>
    <s v=""/>
  </r>
  <r>
    <n v="86"/>
    <s v="Herstellung"/>
    <x v="1"/>
    <x v="0"/>
    <s v="x"/>
    <s v="x"/>
    <s v="pagatorisch"/>
    <s v="Material"/>
    <s v="Gasbrenner für Beutendesinfektion (100 EUR für Leerflasche und Brenner+30 EUR je Füllung für 30 Völker p.a.)"/>
    <s v="Brenner mit Propankartusche"/>
    <x v="0"/>
    <n v="6"/>
    <s v="Betrieb"/>
    <m/>
    <n v="1"/>
    <m/>
    <n v="16"/>
    <m/>
    <n v="16"/>
    <n v="2.6666666666666665"/>
    <n v="7.6190476190476183E-2"/>
    <n v="3.8095238095238092E-2"/>
    <n v="0"/>
    <s v=""/>
    <s v=""/>
    <s v=""/>
  </r>
  <r>
    <n v="87"/>
    <s v="Herstellung"/>
    <x v="1"/>
    <x v="0"/>
    <s v="x"/>
    <s v="x"/>
    <s v="pagatorisch"/>
    <s v="Beiträge_Gebühren"/>
    <s v="Gebühren Gesundheitszeugnis / BSV / Analytik Bienenkrankheiten je Stand"/>
    <m/>
    <x v="0"/>
    <n v="6"/>
    <s v="Betrieb"/>
    <m/>
    <n v="1"/>
    <m/>
    <n v="20"/>
    <m/>
    <n v="20"/>
    <n v="3.3333333333333335"/>
    <n v="9.5238095238095247E-2"/>
    <n v="4.7619047619047623E-2"/>
    <n v="0"/>
    <s v=""/>
    <s v=""/>
    <s v=""/>
  </r>
  <r>
    <n v="88"/>
    <s v="Herstellung"/>
    <x v="1"/>
    <x v="0"/>
    <s v="x"/>
    <s v="x"/>
    <s v="kalkulatorisch"/>
    <s v="Arbeit"/>
    <s v="Reinigung Beuten und Rähmchen"/>
    <m/>
    <x v="0"/>
    <n v="6"/>
    <s v="WV"/>
    <m/>
    <n v="1"/>
    <n v="5"/>
    <n v="14"/>
    <m/>
    <n v="8.235294117647058"/>
    <n v="1.3725490196078429"/>
    <n v="3.9215686274509796E-2"/>
    <n v="1.9607843137254898E-2"/>
    <n v="0"/>
    <n v="9.8039215686274495E-2"/>
    <s v=""/>
    <s v=""/>
  </r>
  <r>
    <n v="89"/>
    <s v="Herstellung"/>
    <x v="1"/>
    <x v="0"/>
    <s v="x"/>
    <s v="x"/>
    <s v="kalkulatorisch"/>
    <s v="Arbeit"/>
    <s v="Therapie "/>
    <s v="LWG/IBI: Kosten Varroakonzepte - TAM orientiertes Konzept mit 2xAS/Nheider und OS/Träufel"/>
    <x v="0"/>
    <n v="6"/>
    <s v="WV"/>
    <m/>
    <n v="1"/>
    <n v="11"/>
    <n v="14"/>
    <m/>
    <n v="18.117647058823529"/>
    <n v="3.0196078431372548"/>
    <n v="8.6274509803921567E-2"/>
    <n v="4.3137254901960784E-2"/>
    <n v="0"/>
    <n v="0.21568627450980393"/>
    <s v=""/>
    <s v=""/>
  </r>
  <r>
    <n v="90"/>
    <s v="Herstellung"/>
    <x v="1"/>
    <x v="0"/>
    <s v="x"/>
    <s v="x"/>
    <s v="kalkulatorisch"/>
    <s v="Arbeit"/>
    <s v="Diagnose / Schadschwellen / Behandlungskontrolle"/>
    <m/>
    <x v="0"/>
    <n v="6"/>
    <s v="WV"/>
    <m/>
    <n v="2"/>
    <n v="1"/>
    <n v="14"/>
    <m/>
    <n v="3.2941176470588234"/>
    <n v="0.54901960784313719"/>
    <n v="1.5686274509803921E-2"/>
    <n v="7.8431372549019607E-3"/>
    <n v="0"/>
    <n v="3.9215686274509803E-2"/>
    <s v=""/>
    <s v=""/>
  </r>
  <r>
    <n v="91"/>
    <s v="Herstellung"/>
    <x v="1"/>
    <x v="0"/>
    <s v="x"/>
    <s v="x"/>
    <s v="kalkulatorisch"/>
    <s v="Arbeit"/>
    <s v="Fahrtzeit"/>
    <m/>
    <x v="0"/>
    <n v="6"/>
    <s v="Betrieb"/>
    <m/>
    <n v="3"/>
    <n v="2"/>
    <n v="14"/>
    <m/>
    <n v="1.4000000000000001"/>
    <n v="0.23333333333333336"/>
    <n v="6.666666666666668E-3"/>
    <n v="3.333333333333334E-3"/>
    <n v="0"/>
    <n v="1.6666666666666666E-2"/>
    <s v=""/>
    <s v=""/>
  </r>
  <r>
    <n v="92"/>
    <s v="Herstellung"/>
    <x v="1"/>
    <x v="0"/>
    <s v="x"/>
    <s v="x"/>
    <s v="kalkulatorisch"/>
    <s v="Sozialversicherung"/>
    <s v="Sozialversicherung"/>
    <s v="https://www.destatis.de/DE/Themen/Arbeit/Arbeitskosten-Lohnnebenkosten/Tabellen/lohnkosten-deutschland.html"/>
    <x v="0"/>
    <n v="6"/>
    <s v="Betrieb"/>
    <m/>
    <m/>
    <m/>
    <n v="0.28999999999999998"/>
    <m/>
    <n v="9.0036470588235282"/>
    <n v="1.5006078431372547"/>
    <n v="4.2874509803921566E-2"/>
    <n v="2.1437254901960783E-2"/>
    <n v="0"/>
    <s v=""/>
    <s v=""/>
    <s v=""/>
  </r>
  <r>
    <n v="93"/>
    <s v="Herstellung"/>
    <x v="1"/>
    <x v="0"/>
    <s v="x"/>
    <s v="x"/>
    <s v="kalkulatorisch"/>
    <s v="KFZ"/>
    <s v="KFZ-Kosten"/>
    <s v="LWG IBI KFZ Kostenrechner"/>
    <x v="0"/>
    <n v="6"/>
    <s v="Betrieb"/>
    <m/>
    <n v="3"/>
    <m/>
    <n v="0.35"/>
    <m/>
    <n v="2.0999999999999996"/>
    <n v="0.34999999999999992"/>
    <n v="9.9999999999999985E-3"/>
    <n v="4.9999999999999992E-3"/>
    <n v="0"/>
    <s v=""/>
    <s v=""/>
    <n v="2.8571428571428571E-2"/>
  </r>
  <r>
    <n v="94"/>
    <s v="Herstellung"/>
    <x v="1"/>
    <x v="0"/>
    <s v="x"/>
    <s v="x"/>
    <s v="pagatorisch"/>
    <s v="Material"/>
    <s v="Tierarzneimittel inkl. Applikatoren"/>
    <s v="LWG/IBI: Kosten Varroakonzepte - TAM orientiertes Konzept mit 2xAS/Nheider und OS/Träufel"/>
    <x v="1"/>
    <n v="26"/>
    <s v="WV"/>
    <m/>
    <n v="1"/>
    <m/>
    <n v="7"/>
    <m/>
    <n v="214.11764705882354"/>
    <n v="8.2352941176470598"/>
    <n v="0.23529411764705885"/>
    <n v="0.11764705882352942"/>
    <n v="0"/>
    <s v=""/>
    <s v=""/>
    <s v=""/>
  </r>
  <r>
    <n v="95"/>
    <s v="Herstellung"/>
    <x v="1"/>
    <x v="0"/>
    <s v="x"/>
    <s v="x"/>
    <s v="pagatorisch"/>
    <s v="Material"/>
    <s v="Gasbrenner für Beutendesinfektion (100 EUR für Leerflasche und Brenner+30 EUR je Füllung)"/>
    <s v="Brenner mit Propankartusche"/>
    <x v="1"/>
    <n v="26"/>
    <s v="Betrieb"/>
    <m/>
    <n v="1"/>
    <m/>
    <n v="36"/>
    <m/>
    <n v="36"/>
    <n v="1.3846153846153846"/>
    <n v="3.9560439560439559E-2"/>
    <n v="1.9780219780219779E-2"/>
    <n v="0"/>
    <s v=""/>
    <s v=""/>
    <s v=""/>
  </r>
  <r>
    <n v="96"/>
    <s v="Herstellung"/>
    <x v="1"/>
    <x v="0"/>
    <s v="x"/>
    <s v="x"/>
    <s v="pagatorisch"/>
    <s v="Beiträge_Gebühren"/>
    <s v="Gebühren Gesundheitszeugnis / BSV / Analytik Bienenkrankheiten je Stand"/>
    <m/>
    <x v="1"/>
    <n v="26"/>
    <s v="Betrieb"/>
    <m/>
    <n v="2"/>
    <m/>
    <n v="20"/>
    <m/>
    <n v="40"/>
    <n v="1.5384615384615385"/>
    <n v="4.3956043956043959E-2"/>
    <n v="2.197802197802198E-2"/>
    <n v="0"/>
    <s v=""/>
    <s v=""/>
    <s v=""/>
  </r>
  <r>
    <n v="97"/>
    <s v="Herstellung"/>
    <x v="1"/>
    <x v="0"/>
    <s v="x"/>
    <s v="x"/>
    <s v="kalkulatorisch"/>
    <s v="Arbeit"/>
    <s v="Reinigung Beuten und Rähmchen"/>
    <m/>
    <x v="1"/>
    <n v="26"/>
    <s v="WV"/>
    <m/>
    <n v="1"/>
    <n v="5"/>
    <n v="14"/>
    <m/>
    <n v="35.686274509803916"/>
    <n v="1.3725490196078429"/>
    <n v="3.9215686274509796E-2"/>
    <n v="1.9607843137254898E-2"/>
    <n v="0"/>
    <n v="9.8039215686274481E-2"/>
    <s v=""/>
    <s v=""/>
  </r>
  <r>
    <n v="98"/>
    <s v="Herstellung"/>
    <x v="1"/>
    <x v="0"/>
    <s v="x"/>
    <s v="x"/>
    <s v="kalkulatorisch"/>
    <s v="Arbeit"/>
    <s v="Therapie "/>
    <s v="LWG/IBI: Kosten Varroakonzepte - TAM orientiertes Konzept mit 2xAS/Nheider und OS/Träufel"/>
    <x v="1"/>
    <n v="26"/>
    <s v="WV"/>
    <m/>
    <n v="1"/>
    <n v="11"/>
    <n v="14"/>
    <m/>
    <n v="78.509803921568619"/>
    <n v="3.0196078431372544"/>
    <n v="8.6274509803921554E-2"/>
    <n v="4.3137254901960777E-2"/>
    <n v="0"/>
    <n v="0.2156862745098039"/>
    <s v=""/>
    <s v=""/>
  </r>
  <r>
    <n v="99"/>
    <s v="Herstellung"/>
    <x v="1"/>
    <x v="0"/>
    <s v="x"/>
    <s v="x"/>
    <s v="kalkulatorisch"/>
    <s v="Arbeit"/>
    <s v="Diagnose / Schadschwellen / Behandlungskontrolle"/>
    <m/>
    <x v="1"/>
    <n v="26"/>
    <s v="WV"/>
    <m/>
    <n v="2"/>
    <n v="1"/>
    <n v="14"/>
    <m/>
    <n v="14.274509803921568"/>
    <n v="0.54901960784313719"/>
    <n v="1.5686274509803921E-2"/>
    <n v="7.8431372549019607E-3"/>
    <n v="0"/>
    <n v="3.9215686274509803E-2"/>
    <s v=""/>
    <s v=""/>
  </r>
  <r>
    <n v="100"/>
    <s v="Herstellung"/>
    <x v="1"/>
    <x v="0"/>
    <s v="x"/>
    <s v="x"/>
    <s v="kalkulatorisch"/>
    <s v="Arbeit"/>
    <s v="Fahrtzeit"/>
    <m/>
    <x v="1"/>
    <n v="26"/>
    <s v="Betrieb"/>
    <m/>
    <n v="6"/>
    <n v="2"/>
    <n v="14"/>
    <m/>
    <n v="2.8000000000000003"/>
    <n v="0.1076923076923077"/>
    <n v="3.0769230769230769E-3"/>
    <n v="1.5384615384615385E-3"/>
    <n v="0"/>
    <n v="7.6923076923076927E-3"/>
    <s v=""/>
    <s v=""/>
  </r>
  <r>
    <n v="101"/>
    <s v="Herstellung"/>
    <x v="1"/>
    <x v="0"/>
    <s v="x"/>
    <s v="x"/>
    <s v="kalkulatorisch"/>
    <s v="Sozialversicherung"/>
    <s v="Sozialversicherung"/>
    <s v="https://www.destatis.de/DE/Themen/Arbeit/Arbeitskosten-Lohnnebenkosten/Tabellen/lohnkosten-deutschland.html"/>
    <x v="1"/>
    <n v="26"/>
    <s v="Betrieb"/>
    <m/>
    <m/>
    <m/>
    <n v="0.28999999999999998"/>
    <m/>
    <n v="38.068470588235286"/>
    <n v="1.4641719457013571"/>
    <n v="4.1833484162895916E-2"/>
    <n v="2.0916742081447958E-2"/>
    <n v="0"/>
    <s v=""/>
    <s v=""/>
    <s v=""/>
  </r>
  <r>
    <n v="102"/>
    <s v="Herstellung"/>
    <x v="1"/>
    <x v="0"/>
    <s v="x"/>
    <s v="x"/>
    <s v="kalkulatorisch"/>
    <s v="KFZ"/>
    <s v="KFZ-Kosten"/>
    <s v="LWG IBI KFZ Kostenrechner"/>
    <x v="1"/>
    <n v="26"/>
    <s v="Betrieb"/>
    <m/>
    <n v="6"/>
    <m/>
    <n v="0.35"/>
    <m/>
    <n v="4.1999999999999993"/>
    <n v="0.16153846153846152"/>
    <n v="4.6153846153846149E-3"/>
    <n v="2.3076923076923075E-3"/>
    <n v="0"/>
    <s v=""/>
    <s v=""/>
    <n v="1.3186813186813187E-2"/>
  </r>
  <r>
    <n v="103"/>
    <s v="Herstellung"/>
    <x v="1"/>
    <x v="0"/>
    <s v="x"/>
    <s v="x"/>
    <s v="pagatorisch"/>
    <s v="Material"/>
    <s v="Tierarzneimittel inkl. Applikatoren"/>
    <s v="LWG/IBI: Kosten Varroakonzepte - TAM orientiertes Konzept mit 2xAS/Nheider und OS/Träufel"/>
    <x v="2"/>
    <n v="71"/>
    <s v="WV"/>
    <m/>
    <n v="1"/>
    <m/>
    <n v="7"/>
    <m/>
    <n v="584.70588235294122"/>
    <n v="8.2352941176470598"/>
    <n v="0.23529411764705885"/>
    <n v="0.11764705882352942"/>
    <n v="0"/>
    <s v=""/>
    <s v=""/>
    <s v=""/>
  </r>
  <r>
    <n v="104"/>
    <s v="Herstellung"/>
    <x v="1"/>
    <x v="0"/>
    <s v="x"/>
    <s v="x"/>
    <s v="pagatorisch"/>
    <s v="Material"/>
    <s v="Gasbrenner für Beutendesinfektion (100 EUR für Leerflasche und Brenner+30 EUR je Füllung)"/>
    <s v="Brenner mit Propankartusche"/>
    <x v="2"/>
    <n v="71"/>
    <s v="Betrieb"/>
    <m/>
    <n v="1"/>
    <m/>
    <n v="81"/>
    <m/>
    <n v="81"/>
    <n v="1.1408450704225352"/>
    <n v="3.2595573440643864E-2"/>
    <n v="1.6297786720321932E-2"/>
    <n v="0"/>
    <s v=""/>
    <s v=""/>
    <s v=""/>
  </r>
  <r>
    <n v="105"/>
    <s v="Herstellung"/>
    <x v="1"/>
    <x v="0"/>
    <s v="x"/>
    <s v="x"/>
    <s v="pagatorisch"/>
    <s v="Beiträge_Gebühren"/>
    <s v="Gebühren Gesundheitszeugnis / BSV / Analytik Bienenkrankheiten je Stand"/>
    <m/>
    <x v="2"/>
    <n v="71"/>
    <s v="Betrieb"/>
    <m/>
    <n v="4"/>
    <m/>
    <n v="20"/>
    <m/>
    <n v="80"/>
    <n v="1.1267605633802817"/>
    <n v="3.2193158953722337E-2"/>
    <n v="1.6096579476861168E-2"/>
    <n v="0"/>
    <s v=""/>
    <s v=""/>
    <s v=""/>
  </r>
  <r>
    <n v="106"/>
    <s v="Herstellung"/>
    <x v="1"/>
    <x v="0"/>
    <s v="x"/>
    <s v="x"/>
    <s v="kalkulatorisch"/>
    <s v="Arbeit"/>
    <s v="Reinigung Beuten und Rähmchen"/>
    <m/>
    <x v="2"/>
    <n v="71"/>
    <s v="WV"/>
    <m/>
    <n v="1"/>
    <n v="5"/>
    <n v="14"/>
    <m/>
    <n v="97.450980392156865"/>
    <n v="1.3725490196078431"/>
    <n v="3.9215686274509803E-2"/>
    <n v="1.9607843137254902E-2"/>
    <n v="0"/>
    <n v="9.8039215686274508E-2"/>
    <s v=""/>
    <s v=""/>
  </r>
  <r>
    <n v="107"/>
    <s v="Herstellung"/>
    <x v="1"/>
    <x v="0"/>
    <s v="x"/>
    <s v="x"/>
    <s v="kalkulatorisch"/>
    <s v="Arbeit"/>
    <s v="Therapie "/>
    <s v="LWG/IBI: Kosten Varroakonzepte - TAM orientiertes Konzept mit 2xAS/Nheider und OS/Träufel"/>
    <x v="2"/>
    <n v="71"/>
    <s v="WV"/>
    <m/>
    <n v="1"/>
    <n v="11"/>
    <n v="14"/>
    <m/>
    <n v="214.39215686274508"/>
    <n v="3.0196078431372548"/>
    <n v="8.6274509803921567E-2"/>
    <n v="4.3137254901960784E-2"/>
    <n v="0"/>
    <n v="0.2156862745098039"/>
    <s v=""/>
    <s v=""/>
  </r>
  <r>
    <n v="108"/>
    <s v="Herstellung"/>
    <x v="1"/>
    <x v="0"/>
    <s v="x"/>
    <s v="x"/>
    <s v="kalkulatorisch"/>
    <s v="Arbeit"/>
    <s v="Diagnose / Schadschwellen / Behandlungskontrolle"/>
    <m/>
    <x v="2"/>
    <n v="71"/>
    <s v="WV"/>
    <m/>
    <n v="2"/>
    <n v="1"/>
    <n v="14"/>
    <m/>
    <n v="38.980392156862749"/>
    <n v="0.5490196078431373"/>
    <n v="1.5686274509803921E-2"/>
    <n v="7.8431372549019607E-3"/>
    <n v="0"/>
    <n v="3.921568627450981E-2"/>
    <s v=""/>
    <s v=""/>
  </r>
  <r>
    <n v="109"/>
    <s v="Herstellung"/>
    <x v="1"/>
    <x v="0"/>
    <s v="x"/>
    <s v="x"/>
    <s v="kalkulatorisch"/>
    <s v="Arbeit"/>
    <s v="Fahrtzeit"/>
    <m/>
    <x v="2"/>
    <n v="71"/>
    <s v="Betrieb"/>
    <m/>
    <n v="12"/>
    <n v="2"/>
    <n v="14"/>
    <m/>
    <n v="5.6000000000000005"/>
    <n v="7.8873239436619724E-2"/>
    <n v="2.2535211267605635E-3"/>
    <n v="1.1267605633802818E-3"/>
    <n v="0"/>
    <n v="5.6338028169014088E-3"/>
    <s v=""/>
    <s v=""/>
  </r>
  <r>
    <n v="110"/>
    <s v="Herstellung"/>
    <x v="1"/>
    <x v="0"/>
    <s v="x"/>
    <s v="x"/>
    <s v="kalkulatorisch"/>
    <s v="Sozialversicherung"/>
    <s v="Sozialversicherung"/>
    <s v="https://www.destatis.de/DE/Themen/Arbeit/Arbeitskosten-Lohnnebenkosten/Tabellen/lohnkosten-deutschland.html"/>
    <x v="2"/>
    <n v="71"/>
    <s v="Betrieb"/>
    <m/>
    <m/>
    <m/>
    <n v="0.28999999999999998"/>
    <m/>
    <n v="103.36282352941176"/>
    <n v="1.4558144159072077"/>
    <n v="4.1594697597348795E-2"/>
    <n v="2.0797348798674398E-2"/>
    <n v="0"/>
    <s v=""/>
    <s v=""/>
    <s v=""/>
  </r>
  <r>
    <n v="111"/>
    <s v="Herstellung"/>
    <x v="1"/>
    <x v="0"/>
    <s v="x"/>
    <s v="x"/>
    <s v="kalkulatorisch"/>
    <s v="KFZ"/>
    <s v="KFZ-Kosten"/>
    <s v="LWG IBI KFZ Kostenrechner"/>
    <x v="2"/>
    <n v="71"/>
    <s v="Betrieb"/>
    <m/>
    <n v="12"/>
    <m/>
    <n v="0.35"/>
    <m/>
    <n v="8.3999999999999986"/>
    <n v="0.11830985915492956"/>
    <n v="3.3802816901408444E-3"/>
    <n v="1.6901408450704222E-3"/>
    <n v="0"/>
    <s v=""/>
    <s v=""/>
    <n v="9.6579476861166982E-3"/>
  </r>
  <r>
    <n v="112"/>
    <s v="Herstellung"/>
    <x v="1"/>
    <x v="0"/>
    <s v="x"/>
    <s v="x"/>
    <s v="pagatorisch"/>
    <s v="Material"/>
    <s v="Tierarzneimittel inkl. Applikatoren"/>
    <s v="LWG/IBI: Kosten Varroakonzepte - TAM orientiertes Konzept mit 2xAS/Nheider und OS/Träufel"/>
    <x v="3"/>
    <n v="150"/>
    <s v="WV"/>
    <m/>
    <n v="1"/>
    <m/>
    <n v="7"/>
    <m/>
    <n v="1235.2941176470588"/>
    <n v="8.235294117647058"/>
    <n v="0.23529411764705879"/>
    <n v="0.1176470588235294"/>
    <n v="0"/>
    <s v=""/>
    <s v=""/>
    <s v=""/>
  </r>
  <r>
    <n v="113"/>
    <s v="Herstellung"/>
    <x v="1"/>
    <x v="0"/>
    <s v="x"/>
    <s v="x"/>
    <s v="pagatorisch"/>
    <s v="Material"/>
    <s v="Gasbrenner für Beutendesinfektion (100 EUR für Leerflasche und Brenner+30 EUR je Füllung)"/>
    <s v="Brenner mit Propankartusche"/>
    <x v="3"/>
    <n v="150"/>
    <s v="Betrieb"/>
    <m/>
    <n v="1"/>
    <m/>
    <n v="160"/>
    <m/>
    <n v="160"/>
    <n v="1.0666666666666667"/>
    <n v="3.0476190476190476E-2"/>
    <n v="1.5238095238095238E-2"/>
    <n v="0"/>
    <s v=""/>
    <s v=""/>
    <s v=""/>
  </r>
  <r>
    <n v="114"/>
    <s v="Herstellung"/>
    <x v="1"/>
    <x v="0"/>
    <s v="x"/>
    <s v="x"/>
    <s v="pagatorisch"/>
    <s v="Beiträge_Gebühren"/>
    <s v="Gebühren Gesundheitszeugnis / BSV / Analytik Bienenkrankheiten je Stand"/>
    <m/>
    <x v="3"/>
    <n v="150"/>
    <s v="Betrieb"/>
    <m/>
    <n v="8"/>
    <m/>
    <n v="20"/>
    <m/>
    <n v="160"/>
    <n v="1.0666666666666667"/>
    <n v="3.0476190476190476E-2"/>
    <n v="1.5238095238095238E-2"/>
    <n v="0"/>
    <s v=""/>
    <s v=""/>
    <s v=""/>
  </r>
  <r>
    <n v="115"/>
    <s v="Herstellung"/>
    <x v="1"/>
    <x v="0"/>
    <s v="x"/>
    <s v="x"/>
    <s v="kalkulatorisch"/>
    <s v="Arbeit"/>
    <s v="Reinigung Beuten und Rähmchen"/>
    <m/>
    <x v="3"/>
    <n v="150"/>
    <s v="WV"/>
    <m/>
    <n v="1"/>
    <n v="5"/>
    <n v="14"/>
    <m/>
    <n v="205.88235294117644"/>
    <n v="1.3725490196078429"/>
    <n v="3.9215686274509796E-2"/>
    <n v="1.9607843137254898E-2"/>
    <n v="0"/>
    <n v="9.8039215686274495E-2"/>
    <s v=""/>
    <s v=""/>
  </r>
  <r>
    <n v="116"/>
    <s v="Herstellung"/>
    <x v="1"/>
    <x v="0"/>
    <s v="x"/>
    <s v="x"/>
    <s v="kalkulatorisch"/>
    <s v="Arbeit"/>
    <s v="Therapie "/>
    <s v="LWG/IBI: Kosten Varroakonzepte - TAM orientiertes Konzept mit 2xAS/Nheider und OS/Träufel"/>
    <x v="3"/>
    <n v="150"/>
    <s v="WV"/>
    <m/>
    <n v="1"/>
    <n v="11"/>
    <n v="14"/>
    <m/>
    <n v="452.94117647058818"/>
    <n v="3.0196078431372544"/>
    <n v="8.6274509803921554E-2"/>
    <n v="4.3137254901960777E-2"/>
    <n v="0"/>
    <n v="0.2156862745098039"/>
    <s v=""/>
    <s v=""/>
  </r>
  <r>
    <n v="117"/>
    <s v="Herstellung"/>
    <x v="1"/>
    <x v="0"/>
    <s v="x"/>
    <s v="x"/>
    <s v="kalkulatorisch"/>
    <s v="Arbeit"/>
    <s v="Diagnose / Schadschwellen / Behandlungskontrolle"/>
    <m/>
    <x v="3"/>
    <n v="150"/>
    <s v="WV"/>
    <m/>
    <n v="2"/>
    <n v="1"/>
    <n v="14"/>
    <m/>
    <n v="82.352941176470594"/>
    <n v="0.5490196078431373"/>
    <n v="1.5686274509803921E-2"/>
    <n v="7.8431372549019607E-3"/>
    <n v="0"/>
    <n v="3.9215686274509803E-2"/>
    <s v=""/>
    <s v=""/>
  </r>
  <r>
    <n v="118"/>
    <s v="Herstellung"/>
    <x v="1"/>
    <x v="0"/>
    <s v="x"/>
    <s v="x"/>
    <s v="kalkulatorisch"/>
    <s v="Arbeit"/>
    <s v="Fahrtzeit"/>
    <m/>
    <x v="3"/>
    <n v="150"/>
    <s v="Betrieb"/>
    <m/>
    <n v="24"/>
    <n v="2"/>
    <n v="14"/>
    <m/>
    <n v="11.200000000000001"/>
    <n v="7.4666666666666673E-2"/>
    <n v="2.1333333333333334E-3"/>
    <n v="1.0666666666666667E-3"/>
    <n v="0"/>
    <n v="5.333333333333334E-3"/>
    <s v=""/>
    <s v=""/>
  </r>
  <r>
    <n v="119"/>
    <s v="Herstellung"/>
    <x v="1"/>
    <x v="0"/>
    <s v="x"/>
    <s v="x"/>
    <s v="kalkulatorisch"/>
    <s v="Sozialversicherung"/>
    <s v="Sozialversicherung"/>
    <s v="https://www.destatis.de/DE/Themen/Arbeit/Arbeitskosten-Lohnnebenkosten/Tabellen/lohnkosten-deutschland.html"/>
    <x v="3"/>
    <n v="150"/>
    <s v="Betrieb"/>
    <m/>
    <m/>
    <m/>
    <n v="0.28999999999999998"/>
    <m/>
    <n v="218.18917647058822"/>
    <n v="1.4545945098039215"/>
    <n v="4.1559843137254901E-2"/>
    <n v="2.077992156862745E-2"/>
    <n v="0"/>
    <s v=""/>
    <s v=""/>
    <s v=""/>
  </r>
  <r>
    <n v="120"/>
    <s v="Herstellung"/>
    <x v="1"/>
    <x v="0"/>
    <s v="x"/>
    <s v="x"/>
    <s v="kalkulatorisch"/>
    <s v="KFZ"/>
    <s v="KFZ-Kosten"/>
    <s v="LWG IBI KFZ Kostenrechner"/>
    <x v="3"/>
    <n v="150"/>
    <s v="Betrieb"/>
    <m/>
    <n v="24"/>
    <m/>
    <n v="0.35"/>
    <m/>
    <n v="16.799999999999997"/>
    <n v="0.11199999999999997"/>
    <n v="3.1999999999999993E-3"/>
    <n v="1.5999999999999996E-3"/>
    <n v="0"/>
    <s v=""/>
    <s v=""/>
    <n v="9.1428571428571418E-3"/>
  </r>
  <r>
    <n v="121"/>
    <s v="Herstellung"/>
    <x v="2"/>
    <x v="0"/>
    <s v="x"/>
    <s v="x"/>
    <s v="kalkulatorisch"/>
    <s v="Abschreibung"/>
    <s v="Wachsschmelzer, Einkochapparat, Eimer"/>
    <m/>
    <x v="0"/>
    <n v="6"/>
    <s v="Betrieb"/>
    <n v="15"/>
    <m/>
    <m/>
    <n v="400"/>
    <n v="400"/>
    <n v="26.666666666666668"/>
    <n v="4.4444444444444446"/>
    <n v="0.12698412698412698"/>
    <n v="6.3492063492063489E-2"/>
    <n v="66.666666666666671"/>
    <s v=""/>
    <s v=""/>
    <s v=""/>
  </r>
  <r>
    <n v="122"/>
    <s v="Herstellung"/>
    <x v="2"/>
    <x v="0"/>
    <s v="x"/>
    <s v="x"/>
    <s v="pagatorisch"/>
    <s v="Material"/>
    <s v="Mittelwände"/>
    <s v="Zukauf Mittelwände abzgl. Erlös aus Altwachsverkauf"/>
    <x v="0"/>
    <n v="6"/>
    <s v="WV"/>
    <m/>
    <n v="1"/>
    <m/>
    <n v="14"/>
    <m/>
    <n v="98.82352941176471"/>
    <n v="16.47058823529412"/>
    <n v="0.4705882352941177"/>
    <n v="0.23529411764705885"/>
    <n v="0"/>
    <s v=""/>
    <s v=""/>
    <s v=""/>
  </r>
  <r>
    <n v="123"/>
    <s v="Herstellung"/>
    <x v="2"/>
    <x v="0"/>
    <s v="x"/>
    <s v="x"/>
    <s v="pagatorisch"/>
    <s v="Material"/>
    <s v="Strom"/>
    <s v="Versuch Wachsschemlzer IBI 2024 mit 0,1 kWh/ZanderBRW mit effizientem Gerät"/>
    <x v="0"/>
    <n v="6"/>
    <s v="WV"/>
    <n v="1"/>
    <n v="1"/>
    <m/>
    <n v="0.4"/>
    <m/>
    <n v="2.4000000000000004"/>
    <n v="0.40000000000000008"/>
    <n v="1.142857142857143E-2"/>
    <n v="5.7142857142857151E-3"/>
    <n v="0"/>
    <s v=""/>
    <n v="2.8571428571428577E-2"/>
    <s v=""/>
  </r>
  <r>
    <n v="124"/>
    <s v="Herstellung"/>
    <x v="2"/>
    <x v="0"/>
    <s v="x"/>
    <s v="x"/>
    <s v="pagatorisch"/>
    <s v="Material"/>
    <s v="Werkzeuge (Drahtspanner, Lötgerät, Vorrichtungen…...)"/>
    <s v="pauschal"/>
    <x v="0"/>
    <n v="6"/>
    <s v="Betrieb"/>
    <n v="10"/>
    <m/>
    <m/>
    <n v="20"/>
    <m/>
    <n v="2"/>
    <n v="0.33333333333333331"/>
    <n v="9.5238095238095229E-3"/>
    <n v="4.7619047619047615E-3"/>
    <n v="0"/>
    <s v=""/>
    <s v=""/>
    <s v=""/>
  </r>
  <r>
    <n v="125"/>
    <s v="Herstellung"/>
    <x v="2"/>
    <x v="0"/>
    <s v="x"/>
    <s v="x"/>
    <s v="pagatorisch"/>
    <s v="Fremdleistungen"/>
    <s v="Analytik Wachs / Rückstände / Verfälschung"/>
    <m/>
    <x v="0"/>
    <n v="6"/>
    <s v="Betrieb"/>
    <m/>
    <n v="1"/>
    <m/>
    <n v="0"/>
    <m/>
    <n v="0"/>
    <n v="0"/>
    <n v="0"/>
    <n v="0"/>
    <n v="0"/>
    <s v=""/>
    <s v=""/>
    <s v=""/>
  </r>
  <r>
    <n v="126"/>
    <s v="Herstellung"/>
    <x v="2"/>
    <x v="0"/>
    <s v="x"/>
    <s v="x"/>
    <s v="kalkulatorisch"/>
    <s v="Arbeit"/>
    <s v="Wabenschmelzen"/>
    <m/>
    <x v="0"/>
    <n v="6"/>
    <s v="WV"/>
    <m/>
    <n v="1"/>
    <n v="20"/>
    <n v="14"/>
    <m/>
    <n v="32.941176470588232"/>
    <n v="5.4901960784313717"/>
    <n v="0.15686274509803919"/>
    <n v="7.8431372549019593E-2"/>
    <n v="0"/>
    <n v="0.39215686274509798"/>
    <s v=""/>
    <s v=""/>
  </r>
  <r>
    <n v="127"/>
    <s v="Herstellung"/>
    <x v="2"/>
    <x v="0"/>
    <s v="x"/>
    <s v="x"/>
    <s v="kalkulatorisch"/>
    <s v="Arbeit"/>
    <s v="Mittelwände einlöten"/>
    <m/>
    <x v="0"/>
    <n v="6"/>
    <s v="WV"/>
    <m/>
    <n v="10"/>
    <n v="0.5"/>
    <n v="14"/>
    <m/>
    <n v="8.235294117647058"/>
    <n v="1.3725490196078429"/>
    <n v="3.9215686274509796E-2"/>
    <n v="1.9607843137254898E-2"/>
    <n v="0"/>
    <n v="9.8039215686274495E-2"/>
    <s v=""/>
    <s v=""/>
  </r>
  <r>
    <n v="128"/>
    <s v="Herstellung"/>
    <x v="2"/>
    <x v="0"/>
    <s v="x"/>
    <s v="x"/>
    <s v="kalkulatorisch"/>
    <s v="Sozialversicherung"/>
    <s v="Sozialversicherung"/>
    <s v="https://www.destatis.de/DE/Themen/Arbeit/Arbeitskosten-Lohnnebenkosten/Tabellen/lohnkosten-deutschland.html"/>
    <x v="0"/>
    <n v="6"/>
    <s v="Betrieb"/>
    <m/>
    <m/>
    <m/>
    <n v="0.28999999999999998"/>
    <m/>
    <n v="11.941176470588234"/>
    <n v="1.9901960784313724"/>
    <n v="5.6862745098039208E-2"/>
    <n v="2.8431372549019604E-2"/>
    <n v="0"/>
    <s v=""/>
    <s v=""/>
    <s v=""/>
  </r>
  <r>
    <n v="129"/>
    <s v="Herstellung"/>
    <x v="2"/>
    <x v="0"/>
    <s v="x"/>
    <s v="x"/>
    <s v="kalkulatorisch"/>
    <s v="Kapital"/>
    <s v="Kapital und Wagnis"/>
    <s v="LfL"/>
    <x v="0"/>
    <n v="6"/>
    <s v="Betrieb"/>
    <m/>
    <n v="200"/>
    <m/>
    <n v="0.03"/>
    <m/>
    <n v="6"/>
    <n v="1"/>
    <n v="2.8571428571428571E-2"/>
    <n v="1.4285714285714285E-2"/>
    <n v="0"/>
    <s v=""/>
    <s v=""/>
    <s v=""/>
  </r>
  <r>
    <n v="130"/>
    <s v="Herstellung"/>
    <x v="2"/>
    <x v="0"/>
    <s v="x"/>
    <s v="x"/>
    <s v="kalkulatorisch"/>
    <s v="Abschreibung"/>
    <s v="Wachsschmelzer, Einkochapparat, Eimer"/>
    <m/>
    <x v="1"/>
    <n v="26"/>
    <s v="Betrieb"/>
    <n v="15"/>
    <m/>
    <m/>
    <n v="800"/>
    <n v="800"/>
    <n v="53.333333333333336"/>
    <n v="2.0512820512820515"/>
    <n v="5.8608058608058615E-2"/>
    <n v="2.9304029304029307E-2"/>
    <n v="30.76923076923077"/>
    <s v=""/>
    <s v=""/>
    <s v=""/>
  </r>
  <r>
    <n v="131"/>
    <s v="Herstellung"/>
    <x v="2"/>
    <x v="0"/>
    <s v="x"/>
    <s v="x"/>
    <s v="pagatorisch"/>
    <s v="Material"/>
    <s v="Mittelwände"/>
    <s v="Zukauf Mittelwände abzgl. Erlös aus Altwachsverkauf"/>
    <x v="1"/>
    <n v="26"/>
    <s v="WV"/>
    <m/>
    <n v="1"/>
    <m/>
    <n v="13.44"/>
    <m/>
    <n v="411.10588235294119"/>
    <n v="15.811764705882354"/>
    <n v="0.45176470588235296"/>
    <n v="0.22588235294117648"/>
    <n v="0"/>
    <s v=""/>
    <s v=""/>
    <s v=""/>
  </r>
  <r>
    <n v="132"/>
    <s v="Herstellung"/>
    <x v="2"/>
    <x v="0"/>
    <s v="x"/>
    <s v="x"/>
    <s v="pagatorisch"/>
    <s v="Material"/>
    <s v="Strom"/>
    <s v="Versuch Wachsschemlzer IBI 2024 mit 0,1 kWh/ZanderBRW mit effizientem Gerät"/>
    <x v="1"/>
    <n v="26"/>
    <s v="WV"/>
    <n v="1"/>
    <n v="1"/>
    <m/>
    <n v="0.4"/>
    <m/>
    <n v="10.4"/>
    <n v="0.4"/>
    <n v="1.1428571428571429E-2"/>
    <n v="5.7142857142857143E-3"/>
    <n v="0"/>
    <s v=""/>
    <n v="2.8571428571428571E-2"/>
    <s v=""/>
  </r>
  <r>
    <n v="133"/>
    <s v="Herstellung"/>
    <x v="2"/>
    <x v="0"/>
    <s v="x"/>
    <s v="x"/>
    <s v="pagatorisch"/>
    <s v="Material"/>
    <s v="Werkzeuge (Drahtspanner, Lötgerät, Vorrichtungen…...)"/>
    <s v="pauschal"/>
    <x v="1"/>
    <n v="26"/>
    <s v="Betrieb"/>
    <n v="10"/>
    <m/>
    <m/>
    <n v="100"/>
    <m/>
    <n v="10"/>
    <n v="0.38461538461538464"/>
    <n v="1.098901098901099E-2"/>
    <n v="5.4945054945054949E-3"/>
    <n v="0"/>
    <s v=""/>
    <s v=""/>
    <s v=""/>
  </r>
  <r>
    <n v="134"/>
    <s v="Herstellung"/>
    <x v="2"/>
    <x v="0"/>
    <s v="x"/>
    <s v="x"/>
    <s v="pagatorisch"/>
    <s v="Fremdleistungen"/>
    <s v="Analytik Wachs / Rückstände / Verfälschung"/>
    <m/>
    <x v="1"/>
    <n v="26"/>
    <s v="Betrieb"/>
    <m/>
    <n v="1"/>
    <m/>
    <n v="0"/>
    <m/>
    <n v="0"/>
    <n v="0"/>
    <n v="0"/>
    <n v="0"/>
    <n v="0"/>
    <s v=""/>
    <s v=""/>
    <s v=""/>
  </r>
  <r>
    <n v="135"/>
    <s v="Herstellung"/>
    <x v="2"/>
    <x v="0"/>
    <s v="x"/>
    <s v="x"/>
    <s v="kalkulatorisch"/>
    <s v="Arbeit"/>
    <s v="Wabenschmelzen"/>
    <m/>
    <x v="1"/>
    <n v="26"/>
    <s v="WV"/>
    <m/>
    <n v="1"/>
    <n v="15"/>
    <n v="14"/>
    <m/>
    <n v="107.05882352941177"/>
    <n v="4.1176470588235299"/>
    <n v="0.11764705882352942"/>
    <n v="5.8823529411764712E-2"/>
    <n v="0"/>
    <n v="0.29411764705882354"/>
    <s v=""/>
    <s v=""/>
  </r>
  <r>
    <n v="136"/>
    <s v="Herstellung"/>
    <x v="2"/>
    <x v="0"/>
    <s v="x"/>
    <s v="x"/>
    <s v="kalkulatorisch"/>
    <s v="Arbeit"/>
    <s v="Mittelwände einlöten"/>
    <m/>
    <x v="1"/>
    <n v="26"/>
    <s v="WV"/>
    <m/>
    <n v="10"/>
    <n v="0.5"/>
    <n v="14"/>
    <m/>
    <n v="35.686274509803916"/>
    <n v="1.3725490196078429"/>
    <n v="3.9215686274509796E-2"/>
    <n v="1.9607843137254898E-2"/>
    <n v="0"/>
    <n v="9.8039215686274481E-2"/>
    <s v=""/>
    <s v=""/>
  </r>
  <r>
    <n v="137"/>
    <s v="Herstellung"/>
    <x v="2"/>
    <x v="0"/>
    <s v="x"/>
    <s v="x"/>
    <s v="kalkulatorisch"/>
    <s v="Sozialversicherung"/>
    <s v="Sozialversicherung"/>
    <s v="https://www.destatis.de/DE/Themen/Arbeit/Arbeitskosten-Lohnnebenkosten/Tabellen/lohnkosten-deutschland.html"/>
    <x v="1"/>
    <n v="26"/>
    <s v="Betrieb"/>
    <m/>
    <m/>
    <m/>
    <n v="0.28999999999999998"/>
    <m/>
    <n v="41.396078431372544"/>
    <n v="1.5921568627450979"/>
    <n v="4.5490196078431369E-2"/>
    <n v="2.2745098039215685E-2"/>
    <n v="0"/>
    <s v=""/>
    <s v=""/>
    <s v=""/>
  </r>
  <r>
    <n v="138"/>
    <s v="Herstellung"/>
    <x v="2"/>
    <x v="0"/>
    <s v="x"/>
    <s v="x"/>
    <s v="kalkulatorisch"/>
    <s v="Kapital"/>
    <s v="Kapital und Wagnis"/>
    <s v="LfL"/>
    <x v="1"/>
    <n v="26"/>
    <s v="Betrieb"/>
    <m/>
    <n v="400"/>
    <m/>
    <n v="0.03"/>
    <m/>
    <n v="12"/>
    <n v="0.46153846153846156"/>
    <n v="1.3186813186813187E-2"/>
    <n v="6.5934065934065934E-3"/>
    <n v="0"/>
    <s v=""/>
    <s v=""/>
    <s v=""/>
  </r>
  <r>
    <n v="139"/>
    <s v="Herstellung"/>
    <x v="2"/>
    <x v="0"/>
    <s v="x"/>
    <s v="x"/>
    <s v="kalkulatorisch"/>
    <s v="Abschreibung"/>
    <s v="Wachsschmelzer, Einkochapparat, Eimer"/>
    <m/>
    <x v="2"/>
    <n v="71"/>
    <s v="Betrieb"/>
    <n v="15"/>
    <m/>
    <m/>
    <n v="2735"/>
    <n v="2735"/>
    <n v="182.33333333333334"/>
    <n v="2.568075117370892"/>
    <n v="7.3373574782025483E-2"/>
    <n v="3.6686787391012741E-2"/>
    <n v="38.521126760563384"/>
    <s v=""/>
    <s v=""/>
    <s v=""/>
  </r>
  <r>
    <n v="140"/>
    <s v="Herstellung"/>
    <x v="2"/>
    <x v="0"/>
    <s v="x"/>
    <s v="x"/>
    <s v="pagatorisch"/>
    <s v="Material"/>
    <s v="Mittelwände"/>
    <s v="Zukauf Mittelwände abzgl. Erlös aus Altwachsverkauf"/>
    <x v="2"/>
    <n v="71"/>
    <s v="WV"/>
    <m/>
    <n v="1"/>
    <m/>
    <n v="13.020000000000001"/>
    <m/>
    <n v="1087.5529411764708"/>
    <n v="15.317647058823532"/>
    <n v="0.4376470588235295"/>
    <n v="0.21882352941176475"/>
    <n v="0"/>
    <s v=""/>
    <s v=""/>
    <s v=""/>
  </r>
  <r>
    <n v="141"/>
    <s v="Herstellung"/>
    <x v="2"/>
    <x v="0"/>
    <s v="x"/>
    <s v="x"/>
    <s v="pagatorisch"/>
    <s v="Material"/>
    <s v="Strom"/>
    <s v="Versuch Wachsschemlzer IBI 2024 mit 0,1 kWh/ZanderBRW mit effizientem Gerät"/>
    <x v="2"/>
    <n v="71"/>
    <s v="WV"/>
    <n v="1"/>
    <n v="1"/>
    <m/>
    <n v="0.4"/>
    <m/>
    <n v="28.400000000000002"/>
    <n v="0.4"/>
    <n v="1.1428571428571429E-2"/>
    <n v="5.7142857142857143E-3"/>
    <n v="0"/>
    <s v=""/>
    <n v="2.8571428571428571E-2"/>
    <s v=""/>
  </r>
  <r>
    <n v="142"/>
    <s v="Herstellung"/>
    <x v="2"/>
    <x v="0"/>
    <s v="x"/>
    <s v="x"/>
    <s v="pagatorisch"/>
    <s v="Material"/>
    <s v="Werkzeuge (Drahtspanner, Lötgerät, Vorrichtungen…...)"/>
    <s v="pauschal"/>
    <x v="2"/>
    <n v="71"/>
    <s v="Betrieb"/>
    <n v="10"/>
    <m/>
    <m/>
    <n v="200"/>
    <m/>
    <n v="20"/>
    <n v="0.28169014084507044"/>
    <n v="8.0482897384305842E-3"/>
    <n v="4.0241448692152921E-3"/>
    <n v="0"/>
    <s v=""/>
    <s v=""/>
    <s v=""/>
  </r>
  <r>
    <n v="143"/>
    <s v="Herstellung"/>
    <x v="2"/>
    <x v="0"/>
    <s v="x"/>
    <s v="x"/>
    <s v="pagatorisch"/>
    <s v="Fremdleistungen"/>
    <s v="Analytik Wachs / Rückstände / Verfälschung"/>
    <m/>
    <x v="2"/>
    <n v="71"/>
    <s v="Betrieb"/>
    <m/>
    <n v="0.5"/>
    <m/>
    <n v="150"/>
    <m/>
    <n v="75"/>
    <n v="1.056338028169014"/>
    <n v="3.0181086519114685E-2"/>
    <n v="1.5090543259557342E-2"/>
    <n v="0"/>
    <s v=""/>
    <s v=""/>
    <s v=""/>
  </r>
  <r>
    <n v="144"/>
    <s v="Herstellung"/>
    <x v="2"/>
    <x v="0"/>
    <s v="x"/>
    <s v="x"/>
    <s v="kalkulatorisch"/>
    <s v="Arbeit"/>
    <s v="Wabenschmelzen"/>
    <m/>
    <x v="2"/>
    <n v="71"/>
    <s v="WV"/>
    <m/>
    <n v="0.5"/>
    <n v="20"/>
    <n v="14"/>
    <m/>
    <n v="194.90196078431373"/>
    <n v="2.7450980392156863"/>
    <n v="7.8431372549019607E-2"/>
    <n v="3.9215686274509803E-2"/>
    <n v="0"/>
    <n v="0.19607843137254902"/>
    <s v=""/>
    <s v=""/>
  </r>
  <r>
    <n v="145"/>
    <s v="Herstellung"/>
    <x v="2"/>
    <x v="0"/>
    <s v="x"/>
    <s v="x"/>
    <s v="kalkulatorisch"/>
    <s v="Arbeit"/>
    <s v="Mittelwände einlöten"/>
    <m/>
    <x v="2"/>
    <n v="71"/>
    <s v="WV"/>
    <m/>
    <n v="10"/>
    <n v="0.5"/>
    <n v="14"/>
    <m/>
    <n v="97.450980392156865"/>
    <n v="1.3725490196078431"/>
    <n v="3.9215686274509803E-2"/>
    <n v="1.9607843137254902E-2"/>
    <n v="0"/>
    <n v="9.8039215686274508E-2"/>
    <s v=""/>
    <s v=""/>
  </r>
  <r>
    <n v="146"/>
    <s v="Herstellung"/>
    <x v="2"/>
    <x v="0"/>
    <s v="x"/>
    <s v="x"/>
    <s v="kalkulatorisch"/>
    <s v="Sozialversicherung"/>
    <s v="Sozialversicherung"/>
    <s v="https://www.destatis.de/DE/Themen/Arbeit/Arbeitskosten-Lohnnebenkosten/Tabellen/lohnkosten-deutschland.html"/>
    <x v="2"/>
    <n v="71"/>
    <s v="Betrieb"/>
    <m/>
    <m/>
    <m/>
    <n v="0.28999999999999998"/>
    <m/>
    <n v="84.78235294117647"/>
    <n v="1.1941176470588235"/>
    <n v="3.411764705882353E-2"/>
    <n v="1.7058823529411765E-2"/>
    <n v="0"/>
    <s v=""/>
    <s v=""/>
    <s v=""/>
  </r>
  <r>
    <n v="147"/>
    <s v="Herstellung"/>
    <x v="2"/>
    <x v="0"/>
    <s v="x"/>
    <s v="x"/>
    <s v="kalkulatorisch"/>
    <s v="Kapital"/>
    <s v="Kapital und Wagnis"/>
    <s v="LfL"/>
    <x v="2"/>
    <n v="71"/>
    <s v="Betrieb"/>
    <m/>
    <n v="1367.5"/>
    <m/>
    <n v="0.03"/>
    <m/>
    <n v="41.024999999999999"/>
    <n v="0.57781690140845066"/>
    <n v="1.6509054325955733E-2"/>
    <n v="8.2545271629778667E-3"/>
    <n v="0"/>
    <s v=""/>
    <s v=""/>
    <s v=""/>
  </r>
  <r>
    <n v="148"/>
    <s v="Herstellung"/>
    <x v="2"/>
    <x v="0"/>
    <s v="x"/>
    <s v="x"/>
    <s v="kalkulatorisch"/>
    <s v="Abschreibung"/>
    <s v="Wachsschmelzer, Einkochapparat, Eimer"/>
    <m/>
    <x v="3"/>
    <n v="150"/>
    <s v="Betrieb"/>
    <n v="15"/>
    <m/>
    <m/>
    <n v="2735"/>
    <n v="2735"/>
    <n v="182.33333333333334"/>
    <n v="1.2155555555555557"/>
    <n v="3.4730158730158736E-2"/>
    <n v="1.7365079365079368E-2"/>
    <n v="18.233333333333334"/>
    <s v=""/>
    <s v=""/>
    <s v=""/>
  </r>
  <r>
    <n v="149"/>
    <s v="Herstellung"/>
    <x v="2"/>
    <x v="0"/>
    <s v="x"/>
    <s v="x"/>
    <s v="pagatorisch"/>
    <s v="Material"/>
    <s v="Mittelwände"/>
    <s v="Zukauf Mittelwände abzgl. Erlös aus Altwachsverkauf"/>
    <x v="3"/>
    <n v="150"/>
    <s v="WV"/>
    <m/>
    <n v="1"/>
    <m/>
    <n v="12.6"/>
    <m/>
    <n v="2223.5294117647059"/>
    <n v="14.823529411764707"/>
    <n v="0.42352941176470588"/>
    <n v="0.21176470588235294"/>
    <n v="0"/>
    <s v=""/>
    <s v=""/>
    <s v=""/>
  </r>
  <r>
    <n v="150"/>
    <s v="Herstellung"/>
    <x v="2"/>
    <x v="0"/>
    <s v="x"/>
    <s v="x"/>
    <s v="pagatorisch"/>
    <s v="Material"/>
    <s v="Strom"/>
    <s v="Versuch Wachsschemlzer IBI 2024 mit 0,1 kWh/ZanderBRW mit effizientem Gerät"/>
    <x v="3"/>
    <n v="150"/>
    <s v="WV"/>
    <n v="1"/>
    <n v="1"/>
    <m/>
    <n v="0.4"/>
    <m/>
    <n v="60"/>
    <n v="0.4"/>
    <n v="1.1428571428571429E-2"/>
    <n v="5.7142857142857143E-3"/>
    <n v="0"/>
    <s v=""/>
    <n v="2.8571428571428571E-2"/>
    <s v=""/>
  </r>
  <r>
    <n v="151"/>
    <s v="Herstellung"/>
    <x v="2"/>
    <x v="0"/>
    <s v="x"/>
    <s v="x"/>
    <s v="pagatorisch"/>
    <s v="Material"/>
    <s v="Werkzeuge (Drahtspanner, Lötgerät, Vorrichtungen…...)"/>
    <s v="pauschal"/>
    <x v="3"/>
    <n v="150"/>
    <s v="Betrieb"/>
    <n v="10"/>
    <m/>
    <m/>
    <n v="400"/>
    <m/>
    <n v="40"/>
    <n v="0.26666666666666666"/>
    <n v="7.619047619047619E-3"/>
    <n v="3.8095238095238095E-3"/>
    <n v="0"/>
    <s v=""/>
    <s v=""/>
    <s v=""/>
  </r>
  <r>
    <n v="152"/>
    <s v="Herstellung"/>
    <x v="2"/>
    <x v="0"/>
    <s v="x"/>
    <s v="x"/>
    <s v="pagatorisch"/>
    <s v="Fremdleistungen"/>
    <s v="Analytik Wachs / Rückstände / Verfälschung"/>
    <m/>
    <x v="3"/>
    <n v="150"/>
    <s v="Betrieb"/>
    <m/>
    <n v="1"/>
    <m/>
    <n v="150"/>
    <m/>
    <n v="150"/>
    <n v="1"/>
    <n v="2.8571428571428571E-2"/>
    <n v="1.4285714285714285E-2"/>
    <n v="0"/>
    <s v=""/>
    <s v=""/>
    <s v=""/>
  </r>
  <r>
    <n v="153"/>
    <s v="Herstellung"/>
    <x v="2"/>
    <x v="0"/>
    <s v="x"/>
    <s v="x"/>
    <s v="kalkulatorisch"/>
    <s v="Arbeit"/>
    <s v="Wabenschmelzen"/>
    <m/>
    <x v="3"/>
    <n v="150"/>
    <s v="WV"/>
    <m/>
    <n v="0.5"/>
    <n v="20"/>
    <n v="14"/>
    <m/>
    <n v="411.76470588235287"/>
    <n v="2.7450980392156858"/>
    <n v="7.8431372549019593E-2"/>
    <n v="3.9215686274509796E-2"/>
    <n v="0"/>
    <n v="0.19607843137254899"/>
    <s v=""/>
    <s v=""/>
  </r>
  <r>
    <n v="154"/>
    <s v="Herstellung"/>
    <x v="2"/>
    <x v="0"/>
    <s v="x"/>
    <s v="x"/>
    <s v="kalkulatorisch"/>
    <s v="Arbeit"/>
    <s v="Mittelwände einlöten"/>
    <m/>
    <x v="3"/>
    <n v="150"/>
    <s v="WV"/>
    <m/>
    <n v="10"/>
    <n v="0.5"/>
    <n v="14"/>
    <m/>
    <n v="205.88235294117644"/>
    <n v="1.3725490196078429"/>
    <n v="3.9215686274509796E-2"/>
    <n v="1.9607843137254898E-2"/>
    <n v="0"/>
    <n v="9.8039215686274495E-2"/>
    <s v=""/>
    <s v=""/>
  </r>
  <r>
    <n v="155"/>
    <s v="Herstellung"/>
    <x v="2"/>
    <x v="0"/>
    <s v="x"/>
    <s v="x"/>
    <s v="kalkulatorisch"/>
    <s v="Sozialversicherung"/>
    <s v="Sozialversicherung"/>
    <s v="https://www.destatis.de/DE/Themen/Arbeit/Arbeitskosten-Lohnnebenkosten/Tabellen/lohnkosten-deutschland.html"/>
    <x v="3"/>
    <n v="150"/>
    <s v="Betrieb"/>
    <m/>
    <m/>
    <m/>
    <n v="0.28999999999999998"/>
    <m/>
    <n v="179.11764705882348"/>
    <n v="1.1941176470588233"/>
    <n v="3.4117647058823523E-2"/>
    <n v="1.7058823529411762E-2"/>
    <n v="0"/>
    <s v=""/>
    <s v=""/>
    <s v=""/>
  </r>
  <r>
    <n v="156"/>
    <s v="Herstellung"/>
    <x v="2"/>
    <x v="0"/>
    <s v="x"/>
    <s v="x"/>
    <s v="kalkulatorisch"/>
    <s v="Kapital"/>
    <s v="Kapital und Wagnis"/>
    <s v="LfL"/>
    <x v="3"/>
    <n v="150"/>
    <s v="Betrieb"/>
    <m/>
    <n v="1367.5"/>
    <m/>
    <n v="0.03"/>
    <m/>
    <n v="41.024999999999999"/>
    <n v="0.27349999999999997"/>
    <n v="7.8142857142857128E-3"/>
    <n v="3.9071428571428564E-3"/>
    <n v="0"/>
    <s v=""/>
    <s v=""/>
    <s v=""/>
  </r>
  <r>
    <n v="157"/>
    <s v="Herstellung"/>
    <x v="3"/>
    <x v="0"/>
    <s v="x"/>
    <s v="x"/>
    <s v="kalkulatorisch"/>
    <s v="Raumkosten"/>
    <s v="Raumkosten"/>
    <s v="https://www.iwkoeln.de/fileadmin/user_upload/Studien/Gutachten/PDF/2023/IWIP_Gutachten_Industrieimmobilien.pdf"/>
    <x v="0"/>
    <n v="6"/>
    <s v="Betrieb"/>
    <n v="1"/>
    <n v="3.5999999999999996"/>
    <m/>
    <n v="6.9150000000000009"/>
    <m/>
    <n v="298.72800000000001"/>
    <n v="49.788000000000004"/>
    <n v="1.4225142857142858"/>
    <n v="0.71125714285714292"/>
    <n v="0"/>
    <s v=""/>
    <s v=""/>
    <s v=""/>
  </r>
  <r>
    <n v="158"/>
    <s v="Herstellung"/>
    <x v="3"/>
    <x v="0"/>
    <s v="x"/>
    <s v="x"/>
    <s v="kalkulatorisch"/>
    <s v="Raumkosten"/>
    <s v="Raumnebenkosten (Strom, Wasser, Heizung)"/>
    <s v="https://www.iwkoeln.de/fileadmin/user_upload/Studien/Gutachten/PDF/2023/IWIP_Gutachten_Industrieimmobilien.pdf"/>
    <x v="0"/>
    <n v="6"/>
    <s v="Betrieb"/>
    <n v="1"/>
    <n v="3.5999999999999996"/>
    <m/>
    <n v="0.13830000000000003"/>
    <m/>
    <n v="5.9745600000000012"/>
    <n v="0.9957600000000002"/>
    <n v="2.845028571428572E-2"/>
    <n v="1.422514285714286E-2"/>
    <n v="0"/>
    <s v=""/>
    <s v=""/>
    <s v=""/>
  </r>
  <r>
    <n v="159"/>
    <s v="Herstellung"/>
    <x v="3"/>
    <x v="0"/>
    <s v="x"/>
    <s v="x"/>
    <s v="kalkulatorisch"/>
    <s v="Abschreibung"/>
    <s v="Technik inkl. Refraktometer"/>
    <m/>
    <x v="0"/>
    <n v="6"/>
    <s v="Betrieb"/>
    <n v="15"/>
    <m/>
    <m/>
    <m/>
    <n v="764"/>
    <n v="50.93333333333333"/>
    <n v="8.4888888888888889"/>
    <n v="0.24253968253968253"/>
    <n v="0.12126984126984126"/>
    <n v="127.33333333333333"/>
    <s v=""/>
    <s v=""/>
    <s v=""/>
  </r>
  <r>
    <n v="160"/>
    <s v="Herstellung"/>
    <x v="3"/>
    <x v="0"/>
    <s v="x"/>
    <s v="x"/>
    <s v="kalkulatorisch"/>
    <s v="Arbeit"/>
    <s v="Entdeckeln/Schleudern/Sieben/Abschäumen"/>
    <m/>
    <x v="0"/>
    <n v="6"/>
    <s v="1 Schleudergang a 4 Waben"/>
    <n v="1"/>
    <n v="30"/>
    <n v="20"/>
    <n v="14"/>
    <m/>
    <n v="140"/>
    <n v="23.333333333333332"/>
    <n v="0.66666666666666663"/>
    <n v="0.33333333333333331"/>
    <n v="0"/>
    <n v="1.6666666666666667"/>
    <s v=""/>
    <s v=""/>
  </r>
  <r>
    <n v="161"/>
    <s v="Herstellung"/>
    <x v="3"/>
    <x v="0"/>
    <s v="x"/>
    <s v="x"/>
    <s v="kalkulatorisch"/>
    <s v="Sozialversicherung"/>
    <s v="Entdeckeln/Schleudern/Sieben/Abschäumen"/>
    <m/>
    <x v="0"/>
    <n v="6"/>
    <s v="Betrieb"/>
    <m/>
    <m/>
    <m/>
    <n v="0.28999999999999998"/>
    <m/>
    <n v="40.599999999999994"/>
    <n v="6.7666666666666657"/>
    <n v="0.1933333333333333"/>
    <n v="9.6666666666666651E-2"/>
    <n v="0"/>
    <s v=""/>
    <s v=""/>
    <s v=""/>
  </r>
  <r>
    <n v="162"/>
    <s v="Herstellung"/>
    <x v="3"/>
    <x v="0"/>
    <s v="x"/>
    <s v="x"/>
    <s v="pagatorisch"/>
    <s v="Material"/>
    <s v="Strom"/>
    <s v="LWG/IBI SofortabfüllenvsLagergebinde: 0,1 kWh/kg Honig"/>
    <x v="0"/>
    <n v="6"/>
    <s v="Betrieb"/>
    <n v="1"/>
    <n v="0.1"/>
    <m/>
    <n v="0.4"/>
    <m/>
    <n v="8.4000000000000021"/>
    <n v="1.4000000000000004"/>
    <n v="4.0000000000000008E-2"/>
    <n v="2.0000000000000004E-2"/>
    <n v="0"/>
    <s v=""/>
    <n v="0.10000000000000002"/>
    <s v=""/>
  </r>
  <r>
    <n v="163"/>
    <s v="Herstellung"/>
    <x v="3"/>
    <x v="0"/>
    <s v="x"/>
    <s v="x"/>
    <s v="pagatorisch"/>
    <s v="Material"/>
    <s v="Lagergebinde: Erstausstattung"/>
    <s v="14kg Eimer - Honigerzeugergemeinschaft Süddeutschland w.V. / HEG Imker Shop GmbH  "/>
    <x v="0"/>
    <n v="6"/>
    <s v="Betrieb"/>
    <n v="3"/>
    <n v="15"/>
    <m/>
    <n v="2.5"/>
    <m/>
    <n v="12.5"/>
    <n v="2.0833333333333335"/>
    <n v="5.9523809523809527E-2"/>
    <n v="2.9761904761904764E-2"/>
    <n v="0"/>
    <s v=""/>
    <s v=""/>
    <s v=""/>
  </r>
  <r>
    <n v="164"/>
    <s v="Herstellung"/>
    <x v="3"/>
    <x v="0"/>
    <s v="x"/>
    <s v="x"/>
    <s v="pagatorisch"/>
    <s v="Material"/>
    <s v="Lagergebinde: Ersatzbeschaffung"/>
    <s v="14kg Eimer - Honigerzeugergemeinschaft Süddeutschland w.V. / HEG Imker Shop GmbH  "/>
    <x v="0"/>
    <n v="6"/>
    <s v="Betrieb"/>
    <m/>
    <n v="5"/>
    <m/>
    <n v="2.5"/>
    <m/>
    <n v="12.5"/>
    <n v="2.0833333333333335"/>
    <n v="5.9523809523809527E-2"/>
    <n v="2.9761904761904764E-2"/>
    <n v="0"/>
    <s v=""/>
    <s v=""/>
    <s v=""/>
  </r>
  <r>
    <n v="165"/>
    <s v="Herstellung"/>
    <x v="3"/>
    <x v="0"/>
    <s v="x"/>
    <s v="x"/>
    <s v="kalkulatorisch"/>
    <s v="Kapital"/>
    <s v="Kapital und Wagnis"/>
    <s v="LfL"/>
    <x v="0"/>
    <n v="6"/>
    <s v="Betrieb"/>
    <m/>
    <n v="382"/>
    <m/>
    <n v="0.03"/>
    <m/>
    <n v="11.459999999999999"/>
    <n v="1.91"/>
    <n v="5.4571428571428569E-2"/>
    <n v="2.7285714285714285E-2"/>
    <n v="0"/>
    <s v=""/>
    <s v=""/>
    <s v=""/>
  </r>
  <r>
    <n v="166"/>
    <s v="Herstellung"/>
    <x v="3"/>
    <x v="0"/>
    <s v="x"/>
    <s v="x"/>
    <s v="pagatorisch"/>
    <s v="Beiträge_Gebühren"/>
    <s v="Gebühren Analytik Honig DIB-Parameter / Sorten"/>
    <s v="je nach Bundesland unterschiedliche Förderung "/>
    <x v="0"/>
    <n v="6"/>
    <s v="Betrieb"/>
    <m/>
    <n v="1"/>
    <m/>
    <n v="30"/>
    <m/>
    <n v="30"/>
    <n v="5"/>
    <n v="0.14285714285714285"/>
    <n v="7.1428571428571425E-2"/>
    <n v="0"/>
    <s v=""/>
    <s v=""/>
    <s v=""/>
  </r>
  <r>
    <n v="167"/>
    <s v="Herstellung"/>
    <x v="3"/>
    <x v="0"/>
    <s v="x"/>
    <s v="x"/>
    <s v="kalkulatorisch"/>
    <s v="Raumkosten"/>
    <s v="Raumkosten"/>
    <s v="https://www.iwkoeln.de/fileadmin/user_upload/Studien/Gutachten/PDF/2023/IWIP_Gutachten_Industrieimmobilien.pdf"/>
    <x v="1"/>
    <n v="26"/>
    <s v="Betrieb"/>
    <n v="1"/>
    <n v="6"/>
    <m/>
    <n v="6.9150000000000009"/>
    <m/>
    <n v="497.88000000000011"/>
    <n v="19.149230769230773"/>
    <n v="0.54712087912087926"/>
    <n v="0.27356043956043963"/>
    <n v="0"/>
    <s v=""/>
    <s v=""/>
    <s v=""/>
  </r>
  <r>
    <n v="168"/>
    <s v="Herstellung"/>
    <x v="3"/>
    <x v="0"/>
    <s v="x"/>
    <s v="x"/>
    <s v="kalkulatorisch"/>
    <s v="Raumkosten"/>
    <s v="Raumnebenkosten (Strom, Wasser, Heizung)"/>
    <s v="https://www.iwkoeln.de/fileadmin/user_upload/Studien/Gutachten/PDF/2023/IWIP_Gutachten_Industrieimmobilien.pdf"/>
    <x v="1"/>
    <n v="26"/>
    <s v="Betrieb"/>
    <n v="1"/>
    <n v="6"/>
    <m/>
    <n v="0.13830000000000003"/>
    <m/>
    <n v="9.9576000000000029"/>
    <n v="0.38298461538461548"/>
    <n v="1.0942417582417586E-2"/>
    <n v="5.4712087912087929E-3"/>
    <n v="0"/>
    <s v=""/>
    <s v=""/>
    <s v=""/>
  </r>
  <r>
    <n v="169"/>
    <s v="Herstellung"/>
    <x v="3"/>
    <x v="0"/>
    <s v="x"/>
    <s v="x"/>
    <s v="kalkulatorisch"/>
    <s v="Abschreibung"/>
    <s v="Technik inkl. Refraktometer"/>
    <m/>
    <x v="1"/>
    <n v="26"/>
    <s v="Betrieb"/>
    <n v="15"/>
    <m/>
    <m/>
    <m/>
    <n v="3923"/>
    <n v="261.53333333333336"/>
    <n v="10.058974358974361"/>
    <n v="0.28739926739926747"/>
    <n v="0.14369963369963373"/>
    <n v="150.88461538461539"/>
    <s v=""/>
    <s v=""/>
    <s v=""/>
  </r>
  <r>
    <n v="170"/>
    <s v="Herstellung"/>
    <x v="3"/>
    <x v="0"/>
    <s v="x"/>
    <s v="x"/>
    <s v="kalkulatorisch"/>
    <s v="Arbeit"/>
    <s v="Entdeckeln/Schleudern/Sieben/Abschäumen"/>
    <m/>
    <x v="1"/>
    <n v="26"/>
    <s v="1 Schleudergang a 4 Waben"/>
    <n v="1"/>
    <n v="130"/>
    <n v="17"/>
    <n v="14"/>
    <m/>
    <n v="515.66666666666674"/>
    <n v="19.833333333333336"/>
    <n v="0.56666666666666676"/>
    <n v="0.28333333333333338"/>
    <n v="0"/>
    <n v="1.4166666666666667"/>
    <s v=""/>
    <s v=""/>
  </r>
  <r>
    <n v="171"/>
    <s v="Herstellung"/>
    <x v="3"/>
    <x v="0"/>
    <s v="x"/>
    <s v="x"/>
    <s v="kalkulatorisch"/>
    <s v="Sozialversicherung"/>
    <s v="Entdeckeln/Schleudern/Sieben/Abschäumen"/>
    <m/>
    <x v="1"/>
    <n v="26"/>
    <s v="Betrieb"/>
    <m/>
    <m/>
    <m/>
    <n v="0.28999999999999998"/>
    <m/>
    <n v="149.54333333333335"/>
    <n v="5.7516666666666669"/>
    <n v="0.16433333333333333"/>
    <n v="8.2166666666666666E-2"/>
    <n v="0"/>
    <s v=""/>
    <s v=""/>
    <s v=""/>
  </r>
  <r>
    <n v="172"/>
    <s v="Herstellung"/>
    <x v="3"/>
    <x v="0"/>
    <s v="x"/>
    <s v="x"/>
    <s v="pagatorisch"/>
    <s v="Material"/>
    <s v="Strom"/>
    <s v="LWG/IBI SofortabfüllenvsLagergebinde: 0,1 kWh/kg Honig"/>
    <x v="1"/>
    <n v="26"/>
    <s v="Betrieb"/>
    <n v="1"/>
    <n v="0.1"/>
    <m/>
    <n v="0.4"/>
    <m/>
    <n v="36.400000000000006"/>
    <n v="1.4000000000000001"/>
    <n v="0.04"/>
    <n v="0.02"/>
    <n v="0"/>
    <s v=""/>
    <n v="0.1"/>
    <s v=""/>
  </r>
  <r>
    <n v="173"/>
    <s v="Herstellung"/>
    <x v="3"/>
    <x v="0"/>
    <s v="x"/>
    <s v="x"/>
    <s v="pagatorisch"/>
    <s v="Material"/>
    <s v="Lagergebinde: Erstausstattung"/>
    <s v="14kg Eimer - Honigerzeugergemeinschaft Süddeutschland w.V. / HEG Imker Shop GmbH  "/>
    <x v="1"/>
    <n v="26"/>
    <s v="Betrieb"/>
    <n v="3"/>
    <n v="65"/>
    <m/>
    <n v="2.5"/>
    <m/>
    <n v="54.166666666666664"/>
    <n v="2.083333333333333"/>
    <n v="5.9523809523809514E-2"/>
    <n v="2.9761904761904757E-2"/>
    <n v="0"/>
    <s v=""/>
    <s v=""/>
    <s v=""/>
  </r>
  <r>
    <n v="174"/>
    <s v="Herstellung"/>
    <x v="3"/>
    <x v="0"/>
    <s v="x"/>
    <s v="x"/>
    <s v="pagatorisch"/>
    <s v="Material"/>
    <s v="Lagergebinde: Ersatzbeschaffung"/>
    <s v="14kg Eimer - Honigerzeugergemeinschaft Süddeutschland w.V. / HEG Imker Shop GmbH  "/>
    <x v="1"/>
    <n v="26"/>
    <s v="Betrieb"/>
    <m/>
    <n v="21.666666666666668"/>
    <m/>
    <n v="2.5"/>
    <m/>
    <n v="54.166666666666671"/>
    <n v="2.0833333333333335"/>
    <n v="5.9523809523809527E-2"/>
    <n v="2.9761904761904764E-2"/>
    <n v="0"/>
    <s v=""/>
    <s v=""/>
    <s v=""/>
  </r>
  <r>
    <n v="175"/>
    <s v="Herstellung"/>
    <x v="3"/>
    <x v="0"/>
    <s v="x"/>
    <s v="x"/>
    <s v="kalkulatorisch"/>
    <s v="Kapital"/>
    <s v="Kapital und Wagnis"/>
    <s v="LfL"/>
    <x v="1"/>
    <n v="26"/>
    <s v="Betrieb"/>
    <m/>
    <n v="1961.5"/>
    <m/>
    <n v="0.03"/>
    <m/>
    <n v="58.844999999999999"/>
    <n v="2.2632692307692306"/>
    <n v="6.4664835164835163E-2"/>
    <n v="3.2332417582417582E-2"/>
    <n v="0"/>
    <s v=""/>
    <s v=""/>
    <s v=""/>
  </r>
  <r>
    <n v="176"/>
    <s v="Herstellung"/>
    <x v="3"/>
    <x v="0"/>
    <s v="x"/>
    <s v="x"/>
    <s v="pagatorisch"/>
    <s v="Beiträge_Gebühren"/>
    <s v="Gebühren Analytik Honig DIB-Parameter / Sorten"/>
    <s v="je nach Bundesland unterschiedliche Förderung "/>
    <x v="1"/>
    <n v="26"/>
    <s v="Betrieb"/>
    <m/>
    <n v="2"/>
    <m/>
    <n v="30"/>
    <m/>
    <n v="60"/>
    <n v="2.3076923076923075"/>
    <n v="6.5934065934065922E-2"/>
    <n v="3.2967032967032961E-2"/>
    <n v="0"/>
    <s v=""/>
    <s v=""/>
    <s v=""/>
  </r>
  <r>
    <n v="177"/>
    <s v="Herstellung"/>
    <x v="3"/>
    <x v="0"/>
    <s v="x"/>
    <s v="x"/>
    <s v="kalkulatorisch"/>
    <s v="Raumkosten"/>
    <s v="Raumkosten"/>
    <s v="https://www.iwkoeln.de/fileadmin/user_upload/Studien/Gutachten/PDF/2023/IWIP_Gutachten_Industrieimmobilien.pdf"/>
    <x v="2"/>
    <n v="71"/>
    <s v="Betrieb"/>
    <n v="1"/>
    <n v="22"/>
    <m/>
    <n v="6.9150000000000009"/>
    <m/>
    <n v="1825.5600000000004"/>
    <n v="25.712112676056343"/>
    <n v="0.73463179074446694"/>
    <n v="0.36731589537223347"/>
    <n v="0"/>
    <s v=""/>
    <s v=""/>
    <s v=""/>
  </r>
  <r>
    <n v="178"/>
    <s v="Herstellung"/>
    <x v="3"/>
    <x v="0"/>
    <s v="x"/>
    <s v="x"/>
    <s v="kalkulatorisch"/>
    <s v="Raumkosten"/>
    <s v="Raumnebenkosten (Strom, Wasser, Heizung)"/>
    <s v="https://www.iwkoeln.de/fileadmin/user_upload/Studien/Gutachten/PDF/2023/IWIP_Gutachten_Industrieimmobilien.pdf"/>
    <x v="2"/>
    <n v="71"/>
    <s v="Betrieb"/>
    <n v="1"/>
    <n v="22"/>
    <m/>
    <n v="0.13830000000000003"/>
    <m/>
    <n v="36.511200000000009"/>
    <n v="0.51424225352112685"/>
    <n v="1.4692635814889339E-2"/>
    <n v="7.3463179074446695E-3"/>
    <n v="0"/>
    <s v=""/>
    <s v=""/>
    <s v=""/>
  </r>
  <r>
    <n v="179"/>
    <s v="Herstellung"/>
    <x v="3"/>
    <x v="0"/>
    <s v="x"/>
    <s v="x"/>
    <s v="kalkulatorisch"/>
    <s v="Abschreibung"/>
    <s v="Technik inkl. Refraktometer"/>
    <m/>
    <x v="2"/>
    <n v="71"/>
    <s v="Betrieb"/>
    <n v="15"/>
    <m/>
    <m/>
    <m/>
    <n v="9995"/>
    <n v="666.33333333333337"/>
    <n v="9.384976525821596"/>
    <n v="0.26814218645204563"/>
    <n v="0.13407109322602281"/>
    <n v="140.77464788732394"/>
    <s v=""/>
    <s v=""/>
    <s v=""/>
  </r>
  <r>
    <n v="180"/>
    <s v="Herstellung"/>
    <x v="3"/>
    <x v="0"/>
    <s v="x"/>
    <s v="x"/>
    <s v="kalkulatorisch"/>
    <s v="Arbeit"/>
    <s v="Entdeckeln/Schleudern/Sieben/Abschäumen"/>
    <m/>
    <x v="2"/>
    <n v="71"/>
    <s v="1 Schleudergang a 4 Waben"/>
    <n v="1"/>
    <n v="236.66666666666666"/>
    <n v="17"/>
    <n v="14"/>
    <m/>
    <n v="938.77777777777783"/>
    <n v="13.222222222222223"/>
    <n v="0.37777777777777782"/>
    <n v="0.18888888888888891"/>
    <n v="0"/>
    <n v="0.94444444444444442"/>
    <s v=""/>
    <s v=""/>
  </r>
  <r>
    <n v="181"/>
    <s v="Herstellung"/>
    <x v="3"/>
    <x v="0"/>
    <s v="x"/>
    <s v="x"/>
    <s v="kalkulatorisch"/>
    <s v="Sozialversicherung"/>
    <s v="Entdeckeln/Schleudern/Sieben/Abschäumen"/>
    <m/>
    <x v="2"/>
    <n v="71"/>
    <s v="Betrieb"/>
    <m/>
    <m/>
    <m/>
    <n v="0.28999999999999998"/>
    <m/>
    <n v="272.24555555555554"/>
    <n v="3.8344444444444443"/>
    <n v="0.10955555555555556"/>
    <n v="5.4777777777777779E-2"/>
    <n v="0"/>
    <s v=""/>
    <s v=""/>
    <s v=""/>
  </r>
  <r>
    <n v="182"/>
    <s v="Herstellung"/>
    <x v="3"/>
    <x v="0"/>
    <s v="x"/>
    <s v="x"/>
    <s v="pagatorisch"/>
    <s v="Material"/>
    <s v="Strom"/>
    <s v="LWG/IBI SofortabfüllenvsLagergebinde: 0,1 kWh/kg Honig"/>
    <x v="2"/>
    <n v="71"/>
    <s v="Betrieb"/>
    <n v="1"/>
    <n v="0.1"/>
    <m/>
    <n v="0.4"/>
    <m/>
    <n v="99.40000000000002"/>
    <n v="1.4000000000000004"/>
    <n v="4.0000000000000008E-2"/>
    <n v="2.0000000000000004E-2"/>
    <n v="0"/>
    <s v=""/>
    <n v="0.10000000000000002"/>
    <s v=""/>
  </r>
  <r>
    <n v="183"/>
    <s v="Herstellung"/>
    <x v="3"/>
    <x v="0"/>
    <s v="x"/>
    <s v="x"/>
    <s v="pagatorisch"/>
    <s v="Material"/>
    <s v="Lagergebinde: Erstausstattung"/>
    <s v="14kg Eimer - Honigerzeugergemeinschaft Süddeutschland w.V. / HEG Imker Shop GmbH  "/>
    <x v="2"/>
    <n v="71"/>
    <s v="Betrieb"/>
    <n v="3"/>
    <n v="178"/>
    <m/>
    <n v="2.5"/>
    <m/>
    <n v="148.33333333333334"/>
    <n v="2.0892018779342725"/>
    <n v="5.9691482226693501E-2"/>
    <n v="2.9845741113346751E-2"/>
    <n v="0"/>
    <s v=""/>
    <s v=""/>
    <s v=""/>
  </r>
  <r>
    <n v="184"/>
    <s v="Herstellung"/>
    <x v="3"/>
    <x v="0"/>
    <s v="x"/>
    <s v="x"/>
    <s v="pagatorisch"/>
    <s v="Material"/>
    <s v="Lagergebinde: Ersatzbeschaffung"/>
    <s v="14kg Eimer - Honigerzeugergemeinschaft Süddeutschland w.V. / HEG Imker Shop GmbH  "/>
    <x v="2"/>
    <n v="71"/>
    <s v="Betrieb"/>
    <m/>
    <n v="59.333333333333336"/>
    <m/>
    <n v="2.5"/>
    <m/>
    <n v="148.33333333333334"/>
    <n v="2.0892018779342725"/>
    <n v="5.9691482226693501E-2"/>
    <n v="2.9845741113346751E-2"/>
    <n v="0"/>
    <s v=""/>
    <s v=""/>
    <s v=""/>
  </r>
  <r>
    <n v="185"/>
    <s v="Herstellung"/>
    <x v="3"/>
    <x v="0"/>
    <s v="x"/>
    <s v="x"/>
    <s v="kalkulatorisch"/>
    <s v="Kapital"/>
    <s v="Kapital und Wagnis"/>
    <s v="LfL"/>
    <x v="2"/>
    <n v="71"/>
    <s v="Betrieb"/>
    <m/>
    <n v="4997.5"/>
    <m/>
    <n v="0.03"/>
    <m/>
    <n v="149.92499999999998"/>
    <n v="2.1116197183098588"/>
    <n v="6.0331991951710254E-2"/>
    <n v="3.0165995975855127E-2"/>
    <n v="0"/>
    <s v=""/>
    <s v=""/>
    <s v=""/>
  </r>
  <r>
    <n v="186"/>
    <s v="Herstellung"/>
    <x v="3"/>
    <x v="0"/>
    <s v="x"/>
    <s v="x"/>
    <s v="pagatorisch"/>
    <s v="Beiträge_Gebühren"/>
    <s v="Gebühren Analytik Honig DIB-Parameter / Sorten"/>
    <s v="je nach Bundesland unterschiedliche Förderung "/>
    <x v="2"/>
    <n v="71"/>
    <s v="Betrieb"/>
    <m/>
    <n v="3"/>
    <m/>
    <n v="30"/>
    <m/>
    <n v="90"/>
    <n v="1.267605633802817"/>
    <n v="3.6217303822937627E-2"/>
    <n v="1.8108651911468814E-2"/>
    <n v="0"/>
    <s v=""/>
    <s v=""/>
    <s v=""/>
  </r>
  <r>
    <n v="187"/>
    <s v="Herstellung"/>
    <x v="3"/>
    <x v="0"/>
    <s v="x"/>
    <s v="x"/>
    <s v="kalkulatorisch"/>
    <s v="Raumkosten"/>
    <s v="Raumkosten"/>
    <s v="https://www.iwkoeln.de/fileadmin/user_upload/Studien/Gutachten/PDF/2023/IWIP_Gutachten_Industrieimmobilien.pdf"/>
    <x v="3"/>
    <n v="150"/>
    <s v="Betrieb"/>
    <n v="1"/>
    <n v="22"/>
    <m/>
    <n v="6.9150000000000009"/>
    <m/>
    <n v="1825.5600000000004"/>
    <n v="12.170400000000003"/>
    <n v="0.34772571428571436"/>
    <n v="0.17386285714285718"/>
    <n v="0"/>
    <s v=""/>
    <s v=""/>
    <s v=""/>
  </r>
  <r>
    <n v="188"/>
    <s v="Herstellung"/>
    <x v="3"/>
    <x v="0"/>
    <s v="x"/>
    <s v="x"/>
    <s v="kalkulatorisch"/>
    <s v="Raumkosten"/>
    <s v="Raumnebenkosten (Strom, Wasser, Heizung)"/>
    <s v="https://www.iwkoeln.de/fileadmin/user_upload/Studien/Gutachten/PDF/2023/IWIP_Gutachten_Industrieimmobilien.pdf"/>
    <x v="3"/>
    <n v="150"/>
    <s v="Betrieb"/>
    <n v="1"/>
    <n v="22"/>
    <m/>
    <n v="0.13830000000000003"/>
    <m/>
    <n v="36.511200000000009"/>
    <n v="0.24340800000000007"/>
    <n v="6.9545142857142875E-3"/>
    <n v="3.4772571428571437E-3"/>
    <n v="0"/>
    <s v=""/>
    <s v=""/>
    <s v=""/>
  </r>
  <r>
    <n v="189"/>
    <s v="Herstellung"/>
    <x v="3"/>
    <x v="0"/>
    <s v="x"/>
    <s v="x"/>
    <s v="kalkulatorisch"/>
    <s v="Abschreibung"/>
    <s v="Technik inkl. Refraktometer"/>
    <m/>
    <x v="3"/>
    <n v="150"/>
    <s v="Betrieb"/>
    <n v="15"/>
    <m/>
    <m/>
    <m/>
    <n v="12082"/>
    <n v="805.4666666666667"/>
    <n v="5.3697777777777782"/>
    <n v="0.15342222222222224"/>
    <n v="7.6711111111111119E-2"/>
    <n v="80.546666666666667"/>
    <s v=""/>
    <s v=""/>
    <s v=""/>
  </r>
  <r>
    <n v="190"/>
    <s v="Herstellung"/>
    <x v="3"/>
    <x v="0"/>
    <s v="x"/>
    <s v="x"/>
    <s v="kalkulatorisch"/>
    <s v="Arbeit"/>
    <s v="Entdeckeln/Schleudern/Sieben/Abschäumen"/>
    <m/>
    <x v="3"/>
    <n v="150"/>
    <s v="1 Schleudergang a 4 Waben"/>
    <n v="1"/>
    <n v="500"/>
    <n v="15"/>
    <n v="14"/>
    <m/>
    <n v="1750"/>
    <n v="11.666666666666666"/>
    <n v="0.33333333333333331"/>
    <n v="0.16666666666666666"/>
    <n v="0"/>
    <n v="0.83333333333333337"/>
    <s v=""/>
    <s v=""/>
  </r>
  <r>
    <n v="191"/>
    <s v="Herstellung"/>
    <x v="3"/>
    <x v="0"/>
    <s v="x"/>
    <s v="x"/>
    <s v="kalkulatorisch"/>
    <s v="Sozialversicherung"/>
    <s v="Entdeckeln/Schleudern/Sieben/Abschäumen"/>
    <m/>
    <x v="3"/>
    <n v="150"/>
    <s v="Betrieb"/>
    <m/>
    <m/>
    <m/>
    <n v="0.28999999999999998"/>
    <m/>
    <n v="507.49999999999994"/>
    <n v="3.3833333333333329"/>
    <n v="9.6666666666666651E-2"/>
    <n v="4.8333333333333325E-2"/>
    <n v="0"/>
    <s v=""/>
    <s v=""/>
    <s v=""/>
  </r>
  <r>
    <n v="192"/>
    <s v="Herstellung"/>
    <x v="3"/>
    <x v="0"/>
    <s v="x"/>
    <s v="x"/>
    <s v="pagatorisch"/>
    <s v="Material"/>
    <s v="Strom"/>
    <s v="LWG/IBI SofortabfüllenvsLagergebinde: 0,1 kWh/kg Honig"/>
    <x v="3"/>
    <n v="150"/>
    <s v="Betrieb"/>
    <n v="1"/>
    <n v="0.1"/>
    <m/>
    <n v="0.4"/>
    <m/>
    <n v="210.00000000000003"/>
    <n v="1.4000000000000001"/>
    <n v="0.04"/>
    <n v="0.02"/>
    <n v="0"/>
    <s v=""/>
    <n v="0.1"/>
    <s v=""/>
  </r>
  <r>
    <n v="193"/>
    <s v="Herstellung"/>
    <x v="3"/>
    <x v="0"/>
    <s v="x"/>
    <s v="x"/>
    <s v="pagatorisch"/>
    <s v="Material"/>
    <s v="Lagergebinde: Erstausstattung"/>
    <s v="300kg Abfüllbehälter"/>
    <x v="3"/>
    <n v="150"/>
    <s v="Betrieb"/>
    <n v="3"/>
    <n v="18"/>
    <m/>
    <n v="60"/>
    <m/>
    <n v="360"/>
    <n v="2.4"/>
    <n v="6.8571428571428575E-2"/>
    <n v="3.4285714285714287E-2"/>
    <n v="0"/>
    <s v=""/>
    <s v=""/>
    <s v=""/>
  </r>
  <r>
    <n v="194"/>
    <s v="Herstellung"/>
    <x v="3"/>
    <x v="0"/>
    <s v="x"/>
    <s v="x"/>
    <s v="pagatorisch"/>
    <s v="Material"/>
    <m/>
    <s v="300kg Abfüllbehälter"/>
    <x v="3"/>
    <n v="150"/>
    <s v="Betrieb"/>
    <m/>
    <m/>
    <m/>
    <m/>
    <m/>
    <n v="0"/>
    <n v="0"/>
    <n v="0"/>
    <n v="0"/>
    <n v="0"/>
    <s v=""/>
    <s v=""/>
    <s v=""/>
  </r>
  <r>
    <n v="195"/>
    <s v="Herstellung"/>
    <x v="3"/>
    <x v="0"/>
    <s v="x"/>
    <s v="x"/>
    <s v="kalkulatorisch"/>
    <s v="Kapital"/>
    <s v="Kapital und Wagnis"/>
    <s v="LfL"/>
    <x v="3"/>
    <n v="150"/>
    <s v="Betrieb"/>
    <m/>
    <n v="6041"/>
    <m/>
    <n v="0.03"/>
    <m/>
    <n v="181.23"/>
    <n v="1.2081999999999999"/>
    <n v="3.4519999999999995E-2"/>
    <n v="1.7259999999999998E-2"/>
    <n v="0"/>
    <s v=""/>
    <s v=""/>
    <s v=""/>
  </r>
  <r>
    <n v="196"/>
    <s v="Herstellung"/>
    <x v="3"/>
    <x v="0"/>
    <s v="x"/>
    <s v="x"/>
    <s v="pagatorisch"/>
    <s v="Beiträge_Gebühren"/>
    <s v="Gebühren Analytik Honig DIB-Parameter / Sorten"/>
    <s v="je nach Bundesland unterschiedliche Förderung "/>
    <x v="3"/>
    <n v="150"/>
    <s v="Betrieb"/>
    <m/>
    <n v="5"/>
    <m/>
    <n v="30"/>
    <m/>
    <n v="150"/>
    <n v="1"/>
    <n v="2.8571428571428571E-2"/>
    <n v="1.4285714285714285E-2"/>
    <n v="0"/>
    <s v=""/>
    <s v=""/>
    <s v=""/>
  </r>
  <r>
    <n v="197"/>
    <s v="Herstellung"/>
    <x v="4"/>
    <x v="0"/>
    <s v="x"/>
    <m/>
    <s v="kalkulatorisch"/>
    <s v="Raumkosten"/>
    <s v="Raumkosten"/>
    <s v="https://www.iwkoeln.de/fileadmin/user_upload/Studien/Gutachten/PDF/2023/IWIP_Gutachten_Industrieimmobilien.pdf"/>
    <x v="0"/>
    <n v="6"/>
    <s v="Betrieb"/>
    <n v="1"/>
    <n v="3.5999999999999996"/>
    <m/>
    <n v="6.9150000000000009"/>
    <m/>
    <n v="298.72800000000001"/>
    <n v="49.788000000000004"/>
    <n v="1.4225142857142858"/>
    <n v="0.71125714285714292"/>
    <n v="0"/>
    <s v=""/>
    <s v=""/>
    <s v=""/>
  </r>
  <r>
    <n v="198"/>
    <s v="Herstellung"/>
    <x v="4"/>
    <x v="0"/>
    <s v="x"/>
    <m/>
    <s v="kalkulatorisch"/>
    <s v="Raumkosten"/>
    <s v="Raumnebenkosten (Strom, Wasser, Heizung)"/>
    <s v="https://www.iwkoeln.de/fileadmin/user_upload/Studien/Gutachten/PDF/2023/IWIP_Gutachten_Industrieimmobilien.pdf"/>
    <x v="0"/>
    <n v="6"/>
    <s v="Betrieb"/>
    <n v="1"/>
    <n v="3.5999999999999996"/>
    <m/>
    <n v="0.13830000000000003"/>
    <m/>
    <n v="5.9745600000000012"/>
    <n v="0.9957600000000002"/>
    <n v="2.845028571428572E-2"/>
    <n v="1.422514285714286E-2"/>
    <n v="0"/>
    <s v=""/>
    <s v=""/>
    <s v=""/>
  </r>
  <r>
    <n v="199"/>
    <s v="Herstellung"/>
    <x v="4"/>
    <x v="0"/>
    <s v="x"/>
    <m/>
    <s v="kalkulatorisch"/>
    <s v="Abschreibung"/>
    <s v="Technik inkl. Waage geeicht"/>
    <m/>
    <x v="0"/>
    <n v="6"/>
    <s v="Betrieb"/>
    <n v="15"/>
    <m/>
    <m/>
    <m/>
    <n v="980"/>
    <n v="65.333333333333329"/>
    <n v="10.888888888888888"/>
    <n v="0.31111111111111106"/>
    <n v="0.15555555555555553"/>
    <n v="163.33333333333334"/>
    <s v=""/>
    <s v=""/>
    <s v=""/>
  </r>
  <r>
    <n v="200"/>
    <s v="Herstellung"/>
    <x v="4"/>
    <x v="0"/>
    <s v="x"/>
    <m/>
    <s v="pagatorisch"/>
    <s v="Beiträge_Gebühren"/>
    <s v="Eichung Waage"/>
    <m/>
    <x v="0"/>
    <n v="6"/>
    <s v="Betrieb"/>
    <m/>
    <n v="0.5"/>
    <m/>
    <n v="113.92000000000002"/>
    <m/>
    <n v="56.960000000000008"/>
    <n v="9.4933333333333341"/>
    <n v="0.27123809523809528"/>
    <n v="0.13561904761904764"/>
    <n v="0"/>
    <s v=""/>
    <s v=""/>
    <s v=""/>
  </r>
  <r>
    <n v="201"/>
    <s v="Herstellung"/>
    <x v="4"/>
    <x v="0"/>
    <s v="x"/>
    <m/>
    <s v="kalkulatorisch"/>
    <s v="Arbeit"/>
    <s v="Anwärmen/Rühren/Abfüllen/Etikettieren"/>
    <m/>
    <x v="0"/>
    <n v="6"/>
    <s v="Glas"/>
    <n v="1"/>
    <n v="420"/>
    <n v="2"/>
    <n v="14"/>
    <m/>
    <n v="196"/>
    <n v="32.666666666666664"/>
    <n v="0.93333333333333324"/>
    <n v="0.46666666666666662"/>
    <n v="0"/>
    <n v="2.3333333333333335"/>
    <s v=""/>
    <s v=""/>
  </r>
  <r>
    <n v="202"/>
    <s v="Herstellung"/>
    <x v="4"/>
    <x v="0"/>
    <s v="x"/>
    <m/>
    <s v="pagatorisch"/>
    <s v="Material"/>
    <s v="Strom"/>
    <s v="LWG/IBI SofortabfüllenvsLagergebinde: 0,2 kWh/kg Honig"/>
    <x v="0"/>
    <n v="6"/>
    <s v="Betrieb"/>
    <n v="1"/>
    <n v="0.2"/>
    <m/>
    <n v="0.4"/>
    <m/>
    <n v="16.800000000000004"/>
    <n v="2.8000000000000007"/>
    <n v="8.0000000000000016E-2"/>
    <n v="4.0000000000000008E-2"/>
    <n v="0"/>
    <s v=""/>
    <n v="0.20000000000000004"/>
    <s v=""/>
  </r>
  <r>
    <n v="203"/>
    <s v="Herstellung"/>
    <x v="4"/>
    <x v="0"/>
    <s v="x"/>
    <m/>
    <s v="pagatorisch"/>
    <s v="Material"/>
    <s v="Primärpackmittel: Glas Erstausstattung"/>
    <m/>
    <x v="0"/>
    <n v="6"/>
    <s v="Betrieb"/>
    <n v="10"/>
    <n v="420"/>
    <m/>
    <n v="0.51"/>
    <m/>
    <n v="21.42"/>
    <n v="3.5700000000000003"/>
    <n v="0.10200000000000001"/>
    <n v="5.1000000000000004E-2"/>
    <n v="0"/>
    <s v=""/>
    <s v=""/>
    <s v=""/>
  </r>
  <r>
    <n v="204"/>
    <s v="Herstellung"/>
    <x v="4"/>
    <x v="0"/>
    <s v="x"/>
    <m/>
    <s v="pagatorisch"/>
    <s v="Material"/>
    <s v="Primärpackmittel: Glas Ersatzbeschaffung"/>
    <s v="Honigerzeugergemeinschaft Süddeutschland w.V. / HEG Imker Shop GmbH  "/>
    <x v="0"/>
    <n v="6"/>
    <s v="Betrieb"/>
    <m/>
    <n v="126.00000000000001"/>
    <m/>
    <n v="0.51"/>
    <m/>
    <n v="64.260000000000005"/>
    <n v="10.71"/>
    <n v="0.30600000000000005"/>
    <n v="0.15300000000000002"/>
    <n v="0"/>
    <s v=""/>
    <s v=""/>
    <s v=""/>
  </r>
  <r>
    <n v="205"/>
    <s v="Herstellung"/>
    <x v="4"/>
    <x v="0"/>
    <s v="x"/>
    <m/>
    <s v="pagatorisch"/>
    <s v="Material"/>
    <s v="Primärpackmittel: Deckel"/>
    <s v="Honigerzeugergemeinschaft Süddeutschland w.V. / HEG Imker Shop GmbH  "/>
    <x v="0"/>
    <n v="6"/>
    <s v="VE"/>
    <m/>
    <n v="1"/>
    <m/>
    <n v="0.13"/>
    <m/>
    <n v="54.6"/>
    <n v="9.1"/>
    <n v="0.26"/>
    <n v="0.13"/>
    <n v="0"/>
    <s v=""/>
    <s v=""/>
    <s v=""/>
  </r>
  <r>
    <n v="206"/>
    <s v="Herstellung"/>
    <x v="4"/>
    <x v="0"/>
    <s v="x"/>
    <m/>
    <s v="pagatorisch"/>
    <s v="Material"/>
    <s v="Primärpackmittel: Deckeleinlage"/>
    <s v="Honigerzeugergemeinschaft Süddeutschland w.V. / HEG Imker Shop GmbH  "/>
    <x v="0"/>
    <n v="6"/>
    <s v="VE"/>
    <m/>
    <n v="1"/>
    <m/>
    <n v="3.0333333333333334E-2"/>
    <m/>
    <n v="12.74"/>
    <n v="2.1233333333333335"/>
    <n v="6.0666666666666674E-2"/>
    <n v="3.0333333333333337E-2"/>
    <n v="0"/>
    <s v=""/>
    <s v=""/>
    <s v=""/>
  </r>
  <r>
    <n v="207"/>
    <s v="Herstellung"/>
    <x v="4"/>
    <x v="0"/>
    <s v="x"/>
    <m/>
    <s v="pagatorisch"/>
    <s v="Material"/>
    <s v="Primärpackmittel: Gewährstreifen"/>
    <s v="DIB selbstklebend auf Bogen https://deutscherimkerbund.de/wp-content/uploads/2025/07/gewahrverschlussvarianten-und-preise-2025-07.pdf"/>
    <x v="0"/>
    <n v="6"/>
    <s v="VE"/>
    <m/>
    <n v="1"/>
    <m/>
    <n v="0.28687499999999999"/>
    <m/>
    <n v="120.4875"/>
    <n v="20.081250000000001"/>
    <n v="0.57374999999999998"/>
    <n v="0.28687499999999999"/>
    <n v="0"/>
    <s v=""/>
    <s v=""/>
    <s v=""/>
  </r>
  <r>
    <n v="208"/>
    <s v="Herstellung"/>
    <x v="4"/>
    <x v="0"/>
    <s v="x"/>
    <m/>
    <s v="kalkulatorisch"/>
    <s v="Kapital"/>
    <s v="Kapital und Wagnis"/>
    <s v="LfL"/>
    <x v="0"/>
    <n v="6"/>
    <s v="Betrieb"/>
    <m/>
    <n v="490"/>
    <m/>
    <n v="0.03"/>
    <m/>
    <n v="14.7"/>
    <n v="2.4499999999999997"/>
    <n v="6.9999999999999993E-2"/>
    <n v="3.4999999999999996E-2"/>
    <n v="0"/>
    <s v=""/>
    <s v=""/>
    <s v=""/>
  </r>
  <r>
    <n v="209"/>
    <s v="Herstellung"/>
    <x v="4"/>
    <x v="0"/>
    <s v="x"/>
    <m/>
    <s v="kalkulatorisch"/>
    <s v="Raumkosten"/>
    <s v="Raumkosten"/>
    <s v="https://www.iwkoeln.de/fileadmin/user_upload/Studien/Gutachten/PDF/2023/IWIP_Gutachten_Industrieimmobilien.pdf"/>
    <x v="1"/>
    <n v="26"/>
    <s v="Betrieb"/>
    <n v="1"/>
    <n v="6"/>
    <m/>
    <n v="6.9150000000000009"/>
    <m/>
    <n v="497.88000000000011"/>
    <n v="19.149230769230773"/>
    <n v="0.54712087912087926"/>
    <n v="0.27356043956043963"/>
    <n v="0"/>
    <s v=""/>
    <s v=""/>
    <s v=""/>
  </r>
  <r>
    <n v="210"/>
    <s v="Herstellung"/>
    <x v="4"/>
    <x v="0"/>
    <s v="x"/>
    <m/>
    <s v="kalkulatorisch"/>
    <s v="Raumkosten"/>
    <s v="Raumnebenkosten (Strom, Wasser, Heizung)"/>
    <s v="https://www.iwkoeln.de/fileadmin/user_upload/Studien/Gutachten/PDF/2023/IWIP_Gutachten_Industrieimmobilien.pdf"/>
    <x v="1"/>
    <n v="26"/>
    <s v="Betrieb"/>
    <n v="1"/>
    <n v="6"/>
    <m/>
    <n v="0.13830000000000003"/>
    <m/>
    <n v="9.9576000000000029"/>
    <n v="0.38298461538461548"/>
    <n v="1.0942417582417586E-2"/>
    <n v="5.4712087912087929E-3"/>
    <n v="0"/>
    <s v=""/>
    <s v=""/>
    <s v=""/>
  </r>
  <r>
    <n v="211"/>
    <s v="Herstellung"/>
    <x v="4"/>
    <x v="0"/>
    <s v="x"/>
    <m/>
    <s v="kalkulatorisch"/>
    <s v="Abschreibung"/>
    <s v="Technik inkl. Waage geeicht"/>
    <m/>
    <x v="1"/>
    <n v="26"/>
    <s v="Betrieb"/>
    <n v="15"/>
    <m/>
    <m/>
    <m/>
    <n v="2535"/>
    <n v="169"/>
    <n v="6.5"/>
    <n v="0.18571428571428572"/>
    <n v="9.285714285714286E-2"/>
    <n v="97.5"/>
    <s v=""/>
    <s v=""/>
    <s v=""/>
  </r>
  <r>
    <n v="212"/>
    <s v="Herstellung"/>
    <x v="4"/>
    <x v="0"/>
    <s v="x"/>
    <m/>
    <s v="pagatorisch"/>
    <s v="Beiträge_Gebühren"/>
    <s v="Eichung Waage"/>
    <m/>
    <x v="1"/>
    <n v="26"/>
    <s v="Betrieb"/>
    <m/>
    <n v="0.5"/>
    <m/>
    <n v="113.92000000000002"/>
    <m/>
    <n v="56.960000000000008"/>
    <n v="2.1907692307692312"/>
    <n v="6.2593406593406606E-2"/>
    <n v="3.1296703296703303E-2"/>
    <n v="0"/>
    <s v=""/>
    <s v=""/>
    <s v=""/>
  </r>
  <r>
    <n v="213"/>
    <s v="Herstellung"/>
    <x v="4"/>
    <x v="0"/>
    <s v="x"/>
    <m/>
    <s v="kalkulatorisch"/>
    <s v="Arbeit"/>
    <s v="Anwärmen/Rühren/Abfüllen/Etikettieren"/>
    <m/>
    <x v="1"/>
    <n v="26"/>
    <s v="Glas"/>
    <n v="1"/>
    <n v="1820"/>
    <n v="1.5"/>
    <n v="14"/>
    <m/>
    <n v="637"/>
    <n v="24.5"/>
    <n v="0.7"/>
    <n v="0.35"/>
    <n v="0"/>
    <n v="1.75"/>
    <s v=""/>
    <s v=""/>
  </r>
  <r>
    <n v="214"/>
    <s v="Herstellung"/>
    <x v="4"/>
    <x v="0"/>
    <s v="x"/>
    <m/>
    <s v="pagatorisch"/>
    <s v="Material"/>
    <s v="Strom"/>
    <s v="LWG/IBI SofortabfüllenvsLagergebinde: 0,2 kWh/kg Honig"/>
    <x v="1"/>
    <n v="26"/>
    <s v="Betrieb"/>
    <n v="1"/>
    <n v="0.2"/>
    <m/>
    <n v="0.4"/>
    <m/>
    <n v="72.800000000000011"/>
    <n v="2.8000000000000003"/>
    <n v="0.08"/>
    <n v="0.04"/>
    <n v="0"/>
    <s v=""/>
    <n v="0.2"/>
    <s v=""/>
  </r>
  <r>
    <n v="215"/>
    <s v="Herstellung"/>
    <x v="4"/>
    <x v="0"/>
    <s v="x"/>
    <m/>
    <s v="pagatorisch"/>
    <s v="Material"/>
    <s v="Primärpackmittel: Glas Erstausstattung"/>
    <m/>
    <x v="1"/>
    <n v="26"/>
    <s v="Betrieb"/>
    <n v="10"/>
    <n v="1820"/>
    <m/>
    <n v="0.51"/>
    <m/>
    <n v="92.820000000000007"/>
    <n v="3.5700000000000003"/>
    <n v="0.10200000000000001"/>
    <n v="5.1000000000000004E-2"/>
    <n v="0"/>
    <s v=""/>
    <s v=""/>
    <s v=""/>
  </r>
  <r>
    <n v="216"/>
    <s v="Herstellung"/>
    <x v="4"/>
    <x v="0"/>
    <s v="x"/>
    <m/>
    <s v="pagatorisch"/>
    <s v="Material"/>
    <s v="Primärpackmittel: Glas Ersatzbeschaffung"/>
    <s v="Honigerzeugergemeinschaft Süddeutschland w.V. / HEG Imker Shop GmbH  "/>
    <x v="1"/>
    <n v="26"/>
    <s v="Betrieb"/>
    <m/>
    <n v="546.00000000000011"/>
    <m/>
    <n v="0.51"/>
    <m/>
    <n v="278.46000000000004"/>
    <n v="10.71"/>
    <n v="0.30600000000000005"/>
    <n v="0.15300000000000002"/>
    <n v="0"/>
    <s v=""/>
    <s v=""/>
    <s v=""/>
  </r>
  <r>
    <n v="217"/>
    <s v="Herstellung"/>
    <x v="4"/>
    <x v="0"/>
    <s v="x"/>
    <m/>
    <s v="pagatorisch"/>
    <s v="Material"/>
    <s v="Primärpackmittel: Deckel"/>
    <s v="Honigerzeugergemeinschaft Süddeutschland w.V. / HEG Imker Shop GmbH  "/>
    <x v="1"/>
    <n v="26"/>
    <s v="VE"/>
    <m/>
    <n v="1"/>
    <m/>
    <n v="0.13"/>
    <m/>
    <n v="236.6"/>
    <n v="9.1"/>
    <n v="0.26"/>
    <n v="0.13"/>
    <n v="0"/>
    <s v=""/>
    <s v=""/>
    <s v=""/>
  </r>
  <r>
    <n v="218"/>
    <s v="Herstellung"/>
    <x v="4"/>
    <x v="0"/>
    <s v="x"/>
    <m/>
    <s v="pagatorisch"/>
    <s v="Material"/>
    <s v="Primärpackmittel: Deckeleinlage"/>
    <s v="Honigerzeugergemeinschaft Süddeutschland w.V. / HEG Imker Shop GmbH  "/>
    <x v="1"/>
    <n v="26"/>
    <s v="VE"/>
    <m/>
    <n v="1"/>
    <m/>
    <n v="3.0333333333333334E-2"/>
    <m/>
    <n v="55.206666666666671"/>
    <n v="2.1233333333333335"/>
    <n v="6.0666666666666674E-2"/>
    <n v="3.0333333333333337E-2"/>
    <n v="0"/>
    <s v=""/>
    <s v=""/>
    <s v=""/>
  </r>
  <r>
    <n v="219"/>
    <s v="Herstellung"/>
    <x v="4"/>
    <x v="0"/>
    <s v="x"/>
    <m/>
    <s v="pagatorisch"/>
    <s v="Material"/>
    <s v="Primärpackmittel: Gewährstreifen"/>
    <s v="DIB selbstklebend auf Bogen https://deutscherimkerbund.de/wp-content/uploads/2025/07/gewahrverschlussvarianten-und-preise-2025-07.pdf"/>
    <x v="1"/>
    <n v="26"/>
    <s v="VE"/>
    <m/>
    <n v="1"/>
    <m/>
    <n v="0.28687499999999999"/>
    <m/>
    <n v="522.11249999999995"/>
    <n v="20.081249999999997"/>
    <n v="0.57374999999999987"/>
    <n v="0.28687499999999994"/>
    <n v="0"/>
    <s v=""/>
    <s v=""/>
    <s v=""/>
  </r>
  <r>
    <n v="220"/>
    <s v="Herstellung"/>
    <x v="4"/>
    <x v="0"/>
    <s v="x"/>
    <m/>
    <s v="kalkulatorisch"/>
    <s v="Kapital"/>
    <s v="Kapital und Wagnis"/>
    <s v="LfL"/>
    <x v="1"/>
    <n v="26"/>
    <s v="Betrieb"/>
    <m/>
    <n v="1267.5"/>
    <m/>
    <n v="0.03"/>
    <m/>
    <n v="38.024999999999999"/>
    <n v="1.4624999999999999"/>
    <n v="4.178571428571428E-2"/>
    <n v="2.089285714285714E-2"/>
    <n v="0"/>
    <s v=""/>
    <s v=""/>
    <s v=""/>
  </r>
  <r>
    <n v="221"/>
    <s v="Herstellung"/>
    <x v="4"/>
    <x v="0"/>
    <s v="x"/>
    <m/>
    <s v="kalkulatorisch"/>
    <s v="Raumkosten"/>
    <s v="Raumkosten"/>
    <s v="https://www.iwkoeln.de/fileadmin/user_upload/Studien/Gutachten/PDF/2023/IWIP_Gutachten_Industrieimmobilien.pdf"/>
    <x v="2"/>
    <n v="71"/>
    <s v="Betrieb"/>
    <n v="1"/>
    <n v="35"/>
    <m/>
    <n v="6.9150000000000009"/>
    <m/>
    <n v="2904.3"/>
    <n v="40.905633802816901"/>
    <n v="1.1687323943661971"/>
    <n v="0.58436619718309857"/>
    <n v="0"/>
    <s v=""/>
    <s v=""/>
    <s v=""/>
  </r>
  <r>
    <n v="222"/>
    <s v="Herstellung"/>
    <x v="4"/>
    <x v="0"/>
    <s v="x"/>
    <m/>
    <s v="kalkulatorisch"/>
    <s v="Raumkosten"/>
    <s v="Raumnebenkosten (Strom, Wasser, Heizung)"/>
    <s v="https://www.iwkoeln.de/fileadmin/user_upload/Studien/Gutachten/PDF/2023/IWIP_Gutachten_Industrieimmobilien.pdf"/>
    <x v="2"/>
    <n v="71"/>
    <s v="Betrieb"/>
    <n v="1"/>
    <n v="35"/>
    <m/>
    <n v="0.13830000000000003"/>
    <m/>
    <n v="58.086000000000013"/>
    <n v="0.81811267605633819"/>
    <n v="2.3374647887323949E-2"/>
    <n v="1.1687323943661974E-2"/>
    <n v="0"/>
    <s v=""/>
    <s v=""/>
    <s v=""/>
  </r>
  <r>
    <n v="223"/>
    <s v="Herstellung"/>
    <x v="4"/>
    <x v="0"/>
    <s v="x"/>
    <m/>
    <s v="kalkulatorisch"/>
    <s v="Abschreibung"/>
    <s v="Technik inkl. Waage geeicht"/>
    <m/>
    <x v="2"/>
    <n v="71"/>
    <s v="Betrieb"/>
    <n v="15"/>
    <m/>
    <m/>
    <m/>
    <n v="10512"/>
    <n v="700.8"/>
    <n v="9.8704225352112669"/>
    <n v="0.28201207243460763"/>
    <n v="0.14100603621730382"/>
    <n v="148.05633802816902"/>
    <s v=""/>
    <s v=""/>
    <s v=""/>
  </r>
  <r>
    <n v="224"/>
    <s v="Herstellung"/>
    <x v="4"/>
    <x v="0"/>
    <s v="x"/>
    <m/>
    <s v="pagatorisch"/>
    <s v="Beiträge_Gebühren"/>
    <s v="Eichung Waage"/>
    <m/>
    <x v="2"/>
    <n v="71"/>
    <s v="Betrieb"/>
    <m/>
    <n v="0.5"/>
    <m/>
    <n v="113.92000000000002"/>
    <m/>
    <n v="56.960000000000008"/>
    <n v="0.80225352112676063"/>
    <n v="2.2921529175050304E-2"/>
    <n v="1.1460764587525152E-2"/>
    <n v="0"/>
    <s v=""/>
    <s v=""/>
    <s v=""/>
  </r>
  <r>
    <n v="225"/>
    <s v="Herstellung"/>
    <x v="4"/>
    <x v="0"/>
    <s v="x"/>
    <m/>
    <s v="kalkulatorisch"/>
    <s v="Arbeit"/>
    <s v="Anwärmen/Rühren/Abfüllen/Etikettieren"/>
    <m/>
    <x v="2"/>
    <n v="71"/>
    <s v="Glas"/>
    <n v="1"/>
    <n v="4970"/>
    <n v="1.2"/>
    <n v="14"/>
    <m/>
    <n v="1391.6000000000001"/>
    <n v="19.600000000000001"/>
    <n v="0.56000000000000005"/>
    <n v="0.28000000000000003"/>
    <n v="0"/>
    <n v="1.4000000000000001"/>
    <s v=""/>
    <s v=""/>
  </r>
  <r>
    <n v="226"/>
    <s v="Herstellung"/>
    <x v="4"/>
    <x v="0"/>
    <s v="x"/>
    <m/>
    <s v="pagatorisch"/>
    <s v="Material"/>
    <s v="Strom"/>
    <s v="LWG/IBI SofortabfüllenvsLagergebinde: 0,2 kWh/kg Honig"/>
    <x v="2"/>
    <n v="71"/>
    <s v="Betrieb"/>
    <n v="1"/>
    <n v="0.2"/>
    <m/>
    <n v="0.4"/>
    <m/>
    <n v="198.80000000000004"/>
    <n v="2.8000000000000007"/>
    <n v="8.0000000000000016E-2"/>
    <n v="4.0000000000000008E-2"/>
    <n v="0"/>
    <s v=""/>
    <n v="0.20000000000000004"/>
    <s v=""/>
  </r>
  <r>
    <n v="227"/>
    <s v="Herstellung"/>
    <x v="4"/>
    <x v="0"/>
    <s v="x"/>
    <m/>
    <s v="pagatorisch"/>
    <s v="Material"/>
    <s v="Primärpackmittel: Glas Erstausstattung"/>
    <m/>
    <x v="2"/>
    <n v="71"/>
    <s v="Betrieb"/>
    <n v="10"/>
    <n v="4970"/>
    <m/>
    <n v="0.51"/>
    <m/>
    <n v="253.46999999999997"/>
    <n v="3.5699999999999994"/>
    <n v="0.10199999999999998"/>
    <n v="5.099999999999999E-2"/>
    <n v="0"/>
    <s v=""/>
    <s v=""/>
    <s v=""/>
  </r>
  <r>
    <n v="228"/>
    <s v="Herstellung"/>
    <x v="4"/>
    <x v="0"/>
    <s v="x"/>
    <m/>
    <s v="pagatorisch"/>
    <s v="Material"/>
    <s v="Primärpackmittel: Glas Ersatzbeschaffung"/>
    <s v="Honigerzeugergemeinschaft Süddeutschland w.V. / HEG Imker Shop GmbH  "/>
    <x v="2"/>
    <n v="71"/>
    <s v="Betrieb"/>
    <m/>
    <n v="1491.0000000000002"/>
    <m/>
    <n v="0.51"/>
    <m/>
    <n v="760.41000000000008"/>
    <n v="10.71"/>
    <n v="0.30600000000000005"/>
    <n v="0.15300000000000002"/>
    <n v="0"/>
    <s v=""/>
    <s v=""/>
    <s v=""/>
  </r>
  <r>
    <n v="229"/>
    <s v="Herstellung"/>
    <x v="4"/>
    <x v="0"/>
    <s v="x"/>
    <m/>
    <s v="pagatorisch"/>
    <s v="Material"/>
    <s v="Primärpackmittel: Deckel"/>
    <s v="Honigerzeugergemeinschaft Süddeutschland w.V. / HEG Imker Shop GmbH  "/>
    <x v="2"/>
    <n v="71"/>
    <s v="VE"/>
    <m/>
    <n v="1"/>
    <m/>
    <n v="0.13"/>
    <m/>
    <n v="646.1"/>
    <n v="9.1"/>
    <n v="0.26"/>
    <n v="0.13"/>
    <n v="0"/>
    <s v=""/>
    <s v=""/>
    <s v=""/>
  </r>
  <r>
    <n v="230"/>
    <s v="Herstellung"/>
    <x v="4"/>
    <x v="0"/>
    <s v="x"/>
    <m/>
    <s v="pagatorisch"/>
    <s v="Material"/>
    <s v="Primärpackmittel: Deckeleinlage"/>
    <s v="Honigerzeugergemeinschaft Süddeutschland w.V. / HEG Imker Shop GmbH  "/>
    <x v="2"/>
    <n v="71"/>
    <s v="VE"/>
    <m/>
    <n v="1"/>
    <m/>
    <n v="3.0333333333333334E-2"/>
    <m/>
    <n v="150.75666666666666"/>
    <n v="2.1233333333333331"/>
    <n v="6.066666666666666E-2"/>
    <n v="3.033333333333333E-2"/>
    <n v="0"/>
    <s v=""/>
    <s v=""/>
    <s v=""/>
  </r>
  <r>
    <n v="231"/>
    <s v="Herstellung"/>
    <x v="4"/>
    <x v="0"/>
    <s v="x"/>
    <m/>
    <s v="pagatorisch"/>
    <s v="Material"/>
    <s v="Primärpackmittel: Gewährstreifen"/>
    <s v="DIB selbstklebend auf Bogen https://deutscherimkerbund.de/wp-content/uploads/2025/07/gewahrverschlussvarianten-und-preise-2025-07.pdf"/>
    <x v="2"/>
    <n v="71"/>
    <s v="VE"/>
    <m/>
    <n v="1"/>
    <m/>
    <n v="0.28687499999999999"/>
    <m/>
    <n v="1425.76875"/>
    <n v="20.081250000000001"/>
    <n v="0.57374999999999998"/>
    <n v="0.28687499999999999"/>
    <n v="0"/>
    <s v=""/>
    <s v=""/>
    <s v=""/>
  </r>
  <r>
    <n v="232"/>
    <s v="Herstellung"/>
    <x v="4"/>
    <x v="0"/>
    <s v="x"/>
    <m/>
    <s v="kalkulatorisch"/>
    <s v="Kapital"/>
    <s v="Kapital und Wagnis"/>
    <s v="LfL"/>
    <x v="2"/>
    <n v="71"/>
    <s v="Betrieb"/>
    <m/>
    <n v="5256"/>
    <m/>
    <n v="0.03"/>
    <m/>
    <n v="157.68"/>
    <n v="2.2208450704225351"/>
    <n v="6.3452716297786718E-2"/>
    <n v="3.1726358148893359E-2"/>
    <n v="0"/>
    <s v=""/>
    <s v=""/>
    <s v=""/>
  </r>
  <r>
    <n v="233"/>
    <s v="Herstellung"/>
    <x v="4"/>
    <x v="0"/>
    <s v="x"/>
    <m/>
    <s v="kalkulatorisch"/>
    <s v="Raumkosten"/>
    <s v="Raumkosten"/>
    <s v="https://www.iwkoeln.de/fileadmin/user_upload/Studien/Gutachten/PDF/2023/IWIP_Gutachten_Industrieimmobilien.pdf"/>
    <x v="3"/>
    <n v="150"/>
    <s v="Betrieb"/>
    <n v="1"/>
    <n v="50"/>
    <m/>
    <n v="6.9150000000000009"/>
    <m/>
    <n v="4149.0000000000009"/>
    <n v="27.660000000000007"/>
    <n v="0.79028571428571448"/>
    <n v="0.39514285714285724"/>
    <n v="0"/>
    <s v=""/>
    <s v=""/>
    <s v=""/>
  </r>
  <r>
    <n v="234"/>
    <s v="Herstellung"/>
    <x v="4"/>
    <x v="0"/>
    <s v="x"/>
    <m/>
    <s v="kalkulatorisch"/>
    <s v="Raumkosten"/>
    <s v="Raumnebenkosten (Strom, Wasser, Heizung)"/>
    <s v="https://www.iwkoeln.de/fileadmin/user_upload/Studien/Gutachten/PDF/2023/IWIP_Gutachten_Industrieimmobilien.pdf"/>
    <x v="3"/>
    <n v="150"/>
    <s v="Betrieb"/>
    <n v="1"/>
    <n v="50"/>
    <m/>
    <n v="0.13830000000000003"/>
    <m/>
    <n v="82.980000000000018"/>
    <n v="0.55320000000000014"/>
    <n v="1.5805714285714291E-2"/>
    <n v="7.9028571428571455E-3"/>
    <n v="0"/>
    <s v=""/>
    <s v=""/>
    <s v=""/>
  </r>
  <r>
    <n v="235"/>
    <s v="Herstellung"/>
    <x v="4"/>
    <x v="0"/>
    <s v="x"/>
    <m/>
    <s v="kalkulatorisch"/>
    <s v="Abschreibung"/>
    <s v="Technik inkl. Waage geeicht"/>
    <m/>
    <x v="3"/>
    <n v="150"/>
    <s v="Betrieb"/>
    <n v="15"/>
    <m/>
    <m/>
    <m/>
    <n v="22714"/>
    <n v="1514.2666666666667"/>
    <n v="10.095111111111111"/>
    <n v="0.28843174603174604"/>
    <n v="0.14421587301587302"/>
    <n v="151.42666666666668"/>
    <s v=""/>
    <s v=""/>
    <s v=""/>
  </r>
  <r>
    <n v="236"/>
    <s v="Herstellung"/>
    <x v="4"/>
    <x v="0"/>
    <s v="x"/>
    <m/>
    <s v="pagatorisch"/>
    <s v="Beiträge_Gebühren"/>
    <s v="Eichung Waage"/>
    <m/>
    <x v="3"/>
    <n v="150"/>
    <s v="Betrieb"/>
    <m/>
    <n v="0.5"/>
    <m/>
    <n v="113.92000000000002"/>
    <m/>
    <n v="56.960000000000008"/>
    <n v="0.37973333333333337"/>
    <n v="1.0849523809523811E-2"/>
    <n v="5.4247619047619053E-3"/>
    <n v="0"/>
    <s v=""/>
    <s v=""/>
    <s v=""/>
  </r>
  <r>
    <n v="237"/>
    <s v="Herstellung"/>
    <x v="4"/>
    <x v="0"/>
    <s v="x"/>
    <m/>
    <s v="kalkulatorisch"/>
    <s v="Arbeit"/>
    <s v="Anwärmen/Rühren/Abfüllen/Etikettieren"/>
    <m/>
    <x v="3"/>
    <n v="150"/>
    <s v="Glas"/>
    <n v="1"/>
    <n v="10500"/>
    <n v="0.9"/>
    <n v="14"/>
    <m/>
    <n v="2205"/>
    <n v="14.7"/>
    <n v="0.42"/>
    <n v="0.21"/>
    <n v="0"/>
    <n v="1.05"/>
    <s v=""/>
    <s v=""/>
  </r>
  <r>
    <n v="238"/>
    <s v="Herstellung"/>
    <x v="4"/>
    <x v="0"/>
    <s v="x"/>
    <m/>
    <s v="pagatorisch"/>
    <s v="Material"/>
    <s v="Strom"/>
    <s v="LWG/IBI SofortabfüllenvsLagergebinde: 0,2 kWh/kg Honig"/>
    <x v="3"/>
    <n v="150"/>
    <s v="Betrieb"/>
    <n v="1"/>
    <n v="0.2"/>
    <m/>
    <n v="0.4"/>
    <m/>
    <n v="420.00000000000006"/>
    <n v="2.8000000000000003"/>
    <n v="0.08"/>
    <n v="0.04"/>
    <n v="0"/>
    <s v=""/>
    <n v="0.2"/>
    <s v=""/>
  </r>
  <r>
    <n v="239"/>
    <s v="Herstellung"/>
    <x v="4"/>
    <x v="0"/>
    <s v="x"/>
    <m/>
    <s v="pagatorisch"/>
    <s v="Material"/>
    <s v="Primärpackmittel: Glas Erstausstattung"/>
    <m/>
    <x v="3"/>
    <n v="150"/>
    <s v="Betrieb"/>
    <n v="10"/>
    <n v="10500"/>
    <m/>
    <n v="0.51"/>
    <m/>
    <n v="535.5"/>
    <n v="3.57"/>
    <n v="0.10199999999999999"/>
    <n v="5.0999999999999997E-2"/>
    <n v="0"/>
    <s v=""/>
    <s v=""/>
    <s v=""/>
  </r>
  <r>
    <n v="240"/>
    <s v="Herstellung"/>
    <x v="4"/>
    <x v="0"/>
    <s v="x"/>
    <m/>
    <s v="pagatorisch"/>
    <s v="Material"/>
    <s v="Primärpackmittel: Glas Ersatzbeschaffung"/>
    <s v="Honigerzeugergemeinschaft Süddeutschland w.V. / HEG Imker Shop GmbH  "/>
    <x v="3"/>
    <n v="150"/>
    <s v="Betrieb"/>
    <m/>
    <n v="3150.0000000000005"/>
    <m/>
    <n v="0.51"/>
    <m/>
    <n v="1606.5000000000002"/>
    <n v="10.71"/>
    <n v="0.30600000000000005"/>
    <n v="0.15300000000000002"/>
    <n v="0"/>
    <s v=""/>
    <s v=""/>
    <s v=""/>
  </r>
  <r>
    <n v="241"/>
    <s v="Herstellung"/>
    <x v="4"/>
    <x v="0"/>
    <s v="x"/>
    <m/>
    <s v="pagatorisch"/>
    <s v="Material"/>
    <s v="Primärpackmittel: Deckel"/>
    <s v="Honigerzeugergemeinschaft Süddeutschland w.V. / HEG Imker Shop GmbH  "/>
    <x v="3"/>
    <n v="150"/>
    <s v="VE"/>
    <m/>
    <n v="1"/>
    <m/>
    <n v="0.13"/>
    <m/>
    <n v="1365"/>
    <n v="9.1"/>
    <n v="0.26"/>
    <n v="0.13"/>
    <n v="0"/>
    <s v=""/>
    <s v=""/>
    <s v=""/>
  </r>
  <r>
    <n v="242"/>
    <s v="Herstellung"/>
    <x v="4"/>
    <x v="0"/>
    <s v="x"/>
    <m/>
    <s v="pagatorisch"/>
    <s v="Material"/>
    <s v="Primärpackmittel: Deckeleinlage"/>
    <s v="Honigerzeugergemeinschaft Süddeutschland w.V. / HEG Imker Shop GmbH  "/>
    <x v="3"/>
    <n v="150"/>
    <s v="VE"/>
    <m/>
    <n v="1"/>
    <m/>
    <n v="3.0333333333333334E-2"/>
    <m/>
    <n v="318.5"/>
    <n v="2.1233333333333335"/>
    <n v="6.0666666666666674E-2"/>
    <n v="3.0333333333333337E-2"/>
    <n v="0"/>
    <s v=""/>
    <s v=""/>
    <s v=""/>
  </r>
  <r>
    <n v="243"/>
    <s v="Herstellung"/>
    <x v="4"/>
    <x v="0"/>
    <s v="x"/>
    <m/>
    <s v="pagatorisch"/>
    <s v="Material"/>
    <s v="Primärpackmittel: Gewährstreifen"/>
    <s v="DIB selbstklebend auf Bogen https://deutscherimkerbund.de/wp-content/uploads/2025/07/gewahrverschlussvarianten-und-preise-2025-07.pdf"/>
    <x v="3"/>
    <n v="150"/>
    <s v="VE"/>
    <m/>
    <n v="1"/>
    <m/>
    <n v="0.28687499999999999"/>
    <m/>
    <n v="3012.1875"/>
    <n v="20.081250000000001"/>
    <n v="0.57374999999999998"/>
    <n v="0.28687499999999999"/>
    <n v="0"/>
    <s v=""/>
    <s v=""/>
    <s v=""/>
  </r>
  <r>
    <n v="244"/>
    <s v="Herstellung"/>
    <x v="4"/>
    <x v="0"/>
    <s v="x"/>
    <m/>
    <s v="kalkulatorisch"/>
    <s v="Kapital"/>
    <s v="Kapital und Wagnis"/>
    <s v="LfL"/>
    <x v="3"/>
    <n v="150"/>
    <s v="Betrieb"/>
    <m/>
    <n v="11357"/>
    <m/>
    <n v="0.03"/>
    <m/>
    <n v="340.71"/>
    <n v="2.2713999999999999"/>
    <n v="6.4897142857142848E-2"/>
    <n v="3.2448571428571424E-2"/>
    <n v="0"/>
    <s v=""/>
    <s v=""/>
    <s v=""/>
  </r>
  <r>
    <n v="245"/>
    <s v="Herstellung"/>
    <x v="4"/>
    <x v="0"/>
    <s v="x"/>
    <m/>
    <s v="pagatorisch"/>
    <s v="Beiträge_Gebühren"/>
    <s v="Verpackungsentsorgung"/>
    <s v=" https://recycling-dual.de/kalkulator/ Glas+Kunststoffdeckel+ Pappe"/>
    <x v="0"/>
    <n v="6"/>
    <m/>
    <m/>
    <m/>
    <m/>
    <n v="0"/>
    <m/>
    <n v="0"/>
    <n v="0"/>
    <n v="0"/>
    <n v="0"/>
    <n v="0"/>
    <s v=""/>
    <s v=""/>
    <s v=""/>
  </r>
  <r>
    <n v="246"/>
    <s v="Herstellung"/>
    <x v="4"/>
    <x v="0"/>
    <s v="x"/>
    <m/>
    <s v="pagatorisch"/>
    <s v="Beiträge_Gebühren"/>
    <s v="Verpackungsentsorgung"/>
    <s v=" https://recycling-dual.de/kalkulator/ Glas+Kunststoffdeckel+ Pappe"/>
    <x v="1"/>
    <n v="26"/>
    <m/>
    <m/>
    <m/>
    <m/>
    <n v="0"/>
    <m/>
    <n v="0"/>
    <n v="0"/>
    <n v="0"/>
    <n v="0"/>
    <n v="0"/>
    <s v=""/>
    <s v=""/>
    <s v=""/>
  </r>
  <r>
    <n v="247"/>
    <s v="Herstellung"/>
    <x v="4"/>
    <x v="0"/>
    <s v="x"/>
    <m/>
    <s v="pagatorisch"/>
    <s v="Beiträge_Gebühren"/>
    <s v="Verpackungsentsorgung"/>
    <s v=" https://recycling-dual.de/kalkulator/ Glas+Kunststoffdeckel+ Pappe"/>
    <x v="2"/>
    <n v="71"/>
    <s v="Glas"/>
    <m/>
    <m/>
    <m/>
    <n v="4.4208740000000003E-2"/>
    <m/>
    <n v="65.91523134000002"/>
    <n v="0.92838354000000023"/>
    <n v="2.6525244000000007E-2"/>
    <n v="1.3262622000000003E-2"/>
    <n v="0"/>
    <s v=""/>
    <s v=""/>
    <s v=""/>
  </r>
  <r>
    <n v="248"/>
    <s v="Herstellung"/>
    <x v="4"/>
    <x v="0"/>
    <s v="x"/>
    <m/>
    <s v="pagatorisch"/>
    <s v="Beiträge_Gebühren"/>
    <s v="Verpackungsentsorgung"/>
    <s v=" https://recycling-dual.de/kalkulator/ Glas+Kunststoffdeckel+ Pappe"/>
    <x v="3"/>
    <n v="150"/>
    <s v="Glas"/>
    <m/>
    <m/>
    <m/>
    <n v="4.4208740000000003E-2"/>
    <m/>
    <n v="139.25753100000003"/>
    <n v="0.92838354000000023"/>
    <n v="2.6525244000000007E-2"/>
    <n v="1.3262622000000003E-2"/>
    <n v="0"/>
    <s v=""/>
    <s v=""/>
    <s v=""/>
  </r>
  <r>
    <n v="249"/>
    <s v="Herstellung"/>
    <x v="5"/>
    <x v="0"/>
    <s v="x"/>
    <s v="x"/>
    <s v="kalkulatorisch"/>
    <s v="Arbeit"/>
    <s v="Betriebs-/Personal- /Prozesshygiene"/>
    <s v="2 x Schleudern und 4 x Abfüllen Raumreinigung"/>
    <x v="0"/>
    <n v="6"/>
    <s v="Raumnutzung Lebensmittel"/>
    <m/>
    <n v="6"/>
    <n v="45"/>
    <n v="14"/>
    <m/>
    <n v="63"/>
    <n v="10.5"/>
    <n v="0.3"/>
    <n v="0.15"/>
    <n v="0"/>
    <n v="0.75"/>
    <s v=""/>
    <s v=""/>
  </r>
  <r>
    <n v="250"/>
    <s v="Herstellung"/>
    <x v="5"/>
    <x v="0"/>
    <s v="x"/>
    <s v="x"/>
    <s v="kalkulatorisch"/>
    <s v="Sozialversicherung"/>
    <s v="Sozialversicherung"/>
    <s v="https://www.destatis.de/DE/Themen/Arbeit/Arbeitskosten-Lohnnebenkosten/Tabellen/lohnkosten-deutschland.html"/>
    <x v="0"/>
    <n v="6"/>
    <s v="Betrieb"/>
    <m/>
    <m/>
    <m/>
    <n v="0.28999999999999998"/>
    <m/>
    <n v="18.27"/>
    <n v="3.0449999999999999"/>
    <n v="8.6999999999999994E-2"/>
    <n v="4.3499999999999997E-2"/>
    <n v="0"/>
    <s v=""/>
    <s v=""/>
    <s v=""/>
  </r>
  <r>
    <n v="251"/>
    <s v="Herstellung"/>
    <x v="5"/>
    <x v="0"/>
    <s v="x"/>
    <s v="x"/>
    <s v="kalkulatorisch"/>
    <s v="Material"/>
    <s v="Reinigungsmittel / -geräte"/>
    <m/>
    <x v="0"/>
    <n v="6"/>
    <s v="Raumnutzung Lebensmittel"/>
    <m/>
    <n v="1"/>
    <m/>
    <n v="10"/>
    <m/>
    <n v="10"/>
    <n v="1.6666666666666667"/>
    <n v="4.7619047619047623E-2"/>
    <n v="2.3809523809523812E-2"/>
    <n v="0"/>
    <s v=""/>
    <s v=""/>
    <s v=""/>
  </r>
  <r>
    <n v="252"/>
    <s v="Herstellung"/>
    <x v="5"/>
    <x v="0"/>
    <s v="x"/>
    <s v="x"/>
    <s v="kalkulatorisch"/>
    <s v="Arbeit"/>
    <s v="Betriebs-/Personal- /Prozesshygiene"/>
    <s v="2 x Schleudern und 4 x Abfüllen Raumreinigung"/>
    <x v="1"/>
    <n v="26"/>
    <s v="Raumnutzung Lebensmittel"/>
    <m/>
    <n v="6"/>
    <n v="60"/>
    <n v="14"/>
    <m/>
    <n v="84"/>
    <n v="3.2307692307692308"/>
    <n v="9.2307692307692313E-2"/>
    <n v="4.6153846153846156E-2"/>
    <n v="0"/>
    <n v="0.23076923076923078"/>
    <s v=""/>
    <s v=""/>
  </r>
  <r>
    <n v="253"/>
    <s v="Herstellung"/>
    <x v="5"/>
    <x v="0"/>
    <s v="x"/>
    <s v="x"/>
    <s v="kalkulatorisch"/>
    <s v="Sozialversicherung"/>
    <s v="Sozialversicherung"/>
    <s v="https://www.destatis.de/DE/Themen/Arbeit/Arbeitskosten-Lohnnebenkosten/Tabellen/lohnkosten-deutschland.html"/>
    <x v="1"/>
    <n v="26"/>
    <s v="Betrieb"/>
    <m/>
    <m/>
    <m/>
    <n v="0.28999999999999998"/>
    <m/>
    <n v="24.36"/>
    <n v="0.93692307692307686"/>
    <n v="2.6769230769230767E-2"/>
    <n v="1.3384615384615384E-2"/>
    <n v="0"/>
    <s v=""/>
    <s v=""/>
    <s v=""/>
  </r>
  <r>
    <n v="254"/>
    <s v="Herstellung"/>
    <x v="5"/>
    <x v="0"/>
    <s v="x"/>
    <s v="x"/>
    <s v="kalkulatorisch"/>
    <s v="Material"/>
    <s v="Reinigungsmittel / -geräte"/>
    <m/>
    <x v="1"/>
    <n v="26"/>
    <s v="Raumnutzung Lebensmittel"/>
    <m/>
    <n v="1"/>
    <m/>
    <n v="25"/>
    <m/>
    <n v="25"/>
    <n v="0.96153846153846156"/>
    <n v="2.7472527472527472E-2"/>
    <n v="1.3736263736263736E-2"/>
    <n v="0"/>
    <s v=""/>
    <s v=""/>
    <s v=""/>
  </r>
  <r>
    <n v="255"/>
    <s v="Herstellung"/>
    <x v="5"/>
    <x v="0"/>
    <s v="x"/>
    <s v="x"/>
    <s v="kalkulatorisch"/>
    <s v="Arbeit"/>
    <s v="Betriebs-/Personal- /Prozesshygiene"/>
    <s v="2 x Schleudern und 4 x Abfüllen Raumreinigung"/>
    <x v="2"/>
    <n v="71"/>
    <s v="Raumnutzung Lebensmittel"/>
    <m/>
    <n v="6"/>
    <n v="120"/>
    <n v="14"/>
    <m/>
    <n v="168"/>
    <n v="2.3661971830985915"/>
    <n v="6.7605633802816895E-2"/>
    <n v="3.3802816901408447E-2"/>
    <n v="0"/>
    <n v="0.16901408450704225"/>
    <s v=""/>
    <s v=""/>
  </r>
  <r>
    <n v="256"/>
    <s v="Herstellung"/>
    <x v="5"/>
    <x v="0"/>
    <s v="x"/>
    <s v="x"/>
    <s v="kalkulatorisch"/>
    <s v="Sozialversicherung"/>
    <s v="Sozialversicherung"/>
    <s v="https://www.destatis.de/DE/Themen/Arbeit/Arbeitskosten-Lohnnebenkosten/Tabellen/lohnkosten-deutschland.html"/>
    <x v="2"/>
    <n v="71"/>
    <s v="Betrieb"/>
    <m/>
    <m/>
    <m/>
    <n v="0.28999999999999998"/>
    <m/>
    <n v="48.72"/>
    <n v="0.68619718309859157"/>
    <n v="1.9605633802816901E-2"/>
    <n v="9.8028169014084503E-3"/>
    <n v="0"/>
    <s v=""/>
    <s v=""/>
    <s v=""/>
  </r>
  <r>
    <n v="257"/>
    <s v="Herstellung"/>
    <x v="5"/>
    <x v="0"/>
    <s v="x"/>
    <s v="x"/>
    <s v="kalkulatorisch"/>
    <s v="Material"/>
    <s v="Reinigungsmittel / -geräte"/>
    <m/>
    <x v="2"/>
    <n v="71"/>
    <s v="Raumnutzung Lebensmittel"/>
    <m/>
    <n v="1"/>
    <m/>
    <n v="40"/>
    <m/>
    <n v="40"/>
    <n v="0.56338028169014087"/>
    <n v="1.6096579476861168E-2"/>
    <n v="8.0482897384305842E-3"/>
    <n v="0"/>
    <s v=""/>
    <s v=""/>
    <s v=""/>
  </r>
  <r>
    <n v="258"/>
    <s v="Herstellung"/>
    <x v="5"/>
    <x v="0"/>
    <s v="x"/>
    <s v="x"/>
    <s v="kalkulatorisch"/>
    <s v="Arbeit"/>
    <s v="Betriebs-/Personal- /Prozesshygiene"/>
    <s v="2 x Schleudern und 4 x Abfüllen Raumreinigung"/>
    <x v="3"/>
    <n v="150"/>
    <s v="Raumnutzung Lebensmittel"/>
    <m/>
    <n v="6"/>
    <n v="180"/>
    <n v="14"/>
    <m/>
    <n v="252"/>
    <n v="1.68"/>
    <n v="4.8000000000000001E-2"/>
    <n v="2.4E-2"/>
    <n v="0"/>
    <n v="0.12"/>
    <s v=""/>
    <s v=""/>
  </r>
  <r>
    <n v="259"/>
    <s v="Herstellung"/>
    <x v="5"/>
    <x v="0"/>
    <s v="x"/>
    <s v="x"/>
    <s v="kalkulatorisch"/>
    <s v="Sozialversicherung"/>
    <s v="Sozialversicherung"/>
    <s v="https://www.destatis.de/DE/Themen/Arbeit/Arbeitskosten-Lohnnebenkosten/Tabellen/lohnkosten-deutschland.html"/>
    <x v="3"/>
    <n v="150"/>
    <s v="Betrieb"/>
    <m/>
    <m/>
    <m/>
    <n v="0.28999999999999998"/>
    <m/>
    <n v="73.08"/>
    <n v="0.48719999999999997"/>
    <n v="1.3919999999999998E-2"/>
    <n v="6.9599999999999992E-3"/>
    <n v="0"/>
    <s v=""/>
    <s v=""/>
    <s v=""/>
  </r>
  <r>
    <n v="260"/>
    <s v="Herstellung"/>
    <x v="5"/>
    <x v="0"/>
    <s v="x"/>
    <s v="x"/>
    <s v="kalkulatorisch"/>
    <s v="Material"/>
    <s v="Reinigungsmittel / -geräte"/>
    <m/>
    <x v="3"/>
    <n v="150"/>
    <s v="Raumnutzung Lebensmittel"/>
    <m/>
    <n v="1"/>
    <m/>
    <n v="70"/>
    <m/>
    <n v="70"/>
    <n v="0.46666666666666667"/>
    <n v="1.3333333333333334E-2"/>
    <n v="6.6666666666666671E-3"/>
    <n v="0"/>
    <s v=""/>
    <s v=""/>
    <s v=""/>
  </r>
  <r>
    <n v="261"/>
    <s v="Gemeinkosten"/>
    <x v="6"/>
    <x v="0"/>
    <s v="x"/>
    <s v="x"/>
    <s v="pagatorisch"/>
    <s v="Versicherung"/>
    <s v="Imkerliche Unfallversicherung"/>
    <s v="z.B. LVBI ERGO"/>
    <x v="0"/>
    <n v="6"/>
    <s v="Betrieb"/>
    <m/>
    <n v="1"/>
    <m/>
    <n v="6.2"/>
    <m/>
    <n v="6.2"/>
    <n v="1.0333333333333334"/>
    <n v="2.9523809523809525E-2"/>
    <n v="1.4761904761904763E-2"/>
    <n v="0"/>
    <s v=""/>
    <s v=""/>
    <s v=""/>
  </r>
  <r>
    <n v="262"/>
    <s v="Gemeinkosten"/>
    <x v="6"/>
    <x v="0"/>
    <s v="x"/>
    <s v="x"/>
    <s v="pagatorisch"/>
    <s v="Sozialversicherung"/>
    <s v="Unfallversicherung SVLFG Grund- und Risikobertrag"/>
    <m/>
    <x v="1"/>
    <n v="26"/>
    <s v="Betrieb"/>
    <m/>
    <n v="1"/>
    <m/>
    <n v="146.69999999999999"/>
    <m/>
    <n v="146.69999999999999"/>
    <n v="5.6423076923076918"/>
    <n v="0.1612087912087912"/>
    <n v="8.0604395604395598E-2"/>
    <n v="0"/>
    <s v=""/>
    <s v=""/>
    <s v=""/>
  </r>
  <r>
    <n v="263"/>
    <s v="Gemeinkosten"/>
    <x v="6"/>
    <x v="0"/>
    <s v="x"/>
    <s v="x"/>
    <s v="pagatorisch"/>
    <s v="Sozialversicherung"/>
    <s v="Unfallversicherung SVLFG Grund- und Risikobertrag"/>
    <m/>
    <x v="2"/>
    <n v="71"/>
    <s v="Betrieb"/>
    <m/>
    <n v="1"/>
    <m/>
    <n v="245.21"/>
    <m/>
    <n v="245.21"/>
    <n v="3.4536619718309862"/>
    <n v="9.8676056338028173E-2"/>
    <n v="4.9338028169014086E-2"/>
    <n v="0"/>
    <s v=""/>
    <s v=""/>
    <s v=""/>
  </r>
  <r>
    <n v="264"/>
    <s v="Gemeinkosten"/>
    <x v="6"/>
    <x v="0"/>
    <s v="x"/>
    <s v="x"/>
    <s v="pagatorisch"/>
    <s v="Sozialversicherung"/>
    <s v="Unfallversicherung SVLFG Grund- und Risikobertrag"/>
    <m/>
    <x v="3"/>
    <n v="150"/>
    <s v="Betrieb"/>
    <m/>
    <n v="1"/>
    <m/>
    <n v="418.16"/>
    <m/>
    <n v="418.16"/>
    <n v="2.7877333333333336"/>
    <n v="7.9649523809523823E-2"/>
    <n v="3.9824761904761911E-2"/>
    <n v="0"/>
    <s v=""/>
    <s v=""/>
    <s v=""/>
  </r>
  <r>
    <n v="265"/>
    <s v="Gemeinkosten"/>
    <x v="6"/>
    <x v="0"/>
    <s v="x"/>
    <s v="x"/>
    <s v="pagatorisch"/>
    <s v="Versicherung"/>
    <s v="Tierseuchenkasse (abhängig von Bundesland)"/>
    <s v="je nach Bundesland unterschiedlich"/>
    <x v="0"/>
    <n v="6"/>
    <s v="Betrieb"/>
    <m/>
    <m/>
    <m/>
    <m/>
    <m/>
    <m/>
    <n v="0"/>
    <m/>
    <m/>
    <n v="0"/>
    <s v=""/>
    <s v=""/>
    <s v=""/>
  </r>
  <r>
    <n v="266"/>
    <s v="Gemeinkosten"/>
    <x v="6"/>
    <x v="0"/>
    <s v="x"/>
    <s v="x"/>
    <s v="pagatorisch"/>
    <s v="Versicherung"/>
    <s v="Tierseuchenkasse (abhängig von Bundesland)"/>
    <s v="je nach Bundesland unterschiedlich"/>
    <x v="1"/>
    <n v="26"/>
    <s v="Betrieb"/>
    <m/>
    <m/>
    <m/>
    <m/>
    <m/>
    <m/>
    <n v="0"/>
    <m/>
    <m/>
    <n v="0"/>
    <s v=""/>
    <s v=""/>
    <s v=""/>
  </r>
  <r>
    <n v="267"/>
    <s v="Gemeinkosten"/>
    <x v="6"/>
    <x v="0"/>
    <s v="x"/>
    <s v="x"/>
    <s v="pagatorisch"/>
    <s v="Versicherung"/>
    <s v="Tierseuchenkasse (abhängig von Bundesland)"/>
    <s v="je nach Bundesland unterschiedlich"/>
    <x v="2"/>
    <n v="71"/>
    <s v="Betrieb"/>
    <m/>
    <m/>
    <m/>
    <m/>
    <m/>
    <m/>
    <n v="0"/>
    <m/>
    <m/>
    <n v="0"/>
    <s v=""/>
    <s v=""/>
    <s v=""/>
  </r>
  <r>
    <n v="268"/>
    <s v="Gemeinkosten"/>
    <x v="6"/>
    <x v="0"/>
    <s v="x"/>
    <s v="x"/>
    <s v="pagatorisch"/>
    <s v="Versicherung"/>
    <s v="Tierseuchenkasse (abhängig von Bundesland)"/>
    <s v="je nach Bundesland unterschiedlich"/>
    <x v="3"/>
    <n v="150"/>
    <s v="Betrieb"/>
    <m/>
    <m/>
    <m/>
    <m/>
    <m/>
    <m/>
    <n v="0"/>
    <m/>
    <m/>
    <n v="0"/>
    <s v=""/>
    <s v=""/>
    <s v=""/>
  </r>
  <r>
    <n v="269"/>
    <s v="Gemeinkosten"/>
    <x v="6"/>
    <x v="0"/>
    <s v="x"/>
    <s v="x"/>
    <s v="pagatorisch"/>
    <s v="Versicherung"/>
    <s v="Sachversicherung imkerliches Inventar "/>
    <s v="z.B. LVBI Ergänzungsversicherung Gaede&amp;Glauerdt Inventar Geräte Vorräte"/>
    <x v="0"/>
    <n v="6"/>
    <s v="Betrieb"/>
    <m/>
    <n v="1"/>
    <m/>
    <n v="20"/>
    <m/>
    <n v="20"/>
    <n v="3.3333333333333335"/>
    <n v="9.5238095238095247E-2"/>
    <n v="4.7619047619047623E-2"/>
    <n v="0"/>
    <s v=""/>
    <s v=""/>
    <s v=""/>
  </r>
  <r>
    <n v="270"/>
    <s v="Gemeinkosten"/>
    <x v="6"/>
    <x v="0"/>
    <s v="x"/>
    <s v="x"/>
    <s v="pagatorisch"/>
    <s v="Versicherung"/>
    <s v="Sachversicherung / Haftpflichtversicherung Imkerei"/>
    <s v="z.B. LVBI Versicherung Gaede&amp;Glauerdt Imker Global"/>
    <x v="0"/>
    <n v="6"/>
    <s v="Betrieb"/>
    <m/>
    <n v="1"/>
    <m/>
    <n v="11.65"/>
    <m/>
    <n v="11.65"/>
    <n v="1.9416666666666667"/>
    <n v="5.5476190476190478E-2"/>
    <n v="2.7738095238095239E-2"/>
    <n v="0"/>
    <s v=""/>
    <s v=""/>
    <s v=""/>
  </r>
  <r>
    <n v="271"/>
    <s v="Gemeinkosten"/>
    <x v="6"/>
    <x v="0"/>
    <s v="x"/>
    <s v="x"/>
    <s v="pagatorisch"/>
    <s v="Versicherung"/>
    <s v="Haftpflicht"/>
    <s v="z.B. DBIB Gaede&amp;Glauerdt Gruppe B"/>
    <x v="1"/>
    <n v="26"/>
    <s v="Betrieb"/>
    <m/>
    <n v="1"/>
    <m/>
    <n v="47.6"/>
    <m/>
    <n v="47.6"/>
    <n v="1.8307692307692309"/>
    <n v="5.2307692307692312E-2"/>
    <n v="2.6153846153846156E-2"/>
    <n v="0"/>
    <s v=""/>
    <s v=""/>
    <s v=""/>
  </r>
  <r>
    <n v="272"/>
    <s v="Gemeinkosten"/>
    <x v="6"/>
    <x v="0"/>
    <s v="x"/>
    <s v="x"/>
    <s v="pagatorisch"/>
    <s v="Versicherung"/>
    <s v="Sachversicherung imkerliches Inventar "/>
    <s v="z.B. DBIB Gaede&amp;Glauerdt Gruppe B"/>
    <x v="1"/>
    <n v="26"/>
    <s v="Betrieb"/>
    <m/>
    <n v="1"/>
    <m/>
    <n v="164.82"/>
    <m/>
    <n v="164.82"/>
    <n v="6.3392307692307686"/>
    <n v="0.1811208791208791"/>
    <n v="9.0560439560439548E-2"/>
    <n v="0"/>
    <s v=""/>
    <s v=""/>
    <s v=""/>
  </r>
  <r>
    <n v="273"/>
    <s v="Gemeinkosten"/>
    <x v="6"/>
    <x v="0"/>
    <s v="x"/>
    <s v="x"/>
    <s v="pagatorisch"/>
    <s v="Versicherung"/>
    <s v="Belegstellen"/>
    <s v="z.B. DBIB Gaede&amp;Glauerdt Gruppe B"/>
    <x v="1"/>
    <n v="26"/>
    <s v="Betrieb"/>
    <m/>
    <n v="1"/>
    <m/>
    <n v="5.96"/>
    <m/>
    <n v="5.96"/>
    <n v="0.22923076923076924"/>
    <n v="6.5494505494505494E-3"/>
    <n v="3.2747252747252747E-3"/>
    <n v="0"/>
    <s v=""/>
    <s v=""/>
    <s v=""/>
  </r>
  <r>
    <n v="274"/>
    <s v="Gemeinkosten"/>
    <x v="6"/>
    <x v="0"/>
    <s v="x"/>
    <s v="x"/>
    <s v="pagatorisch"/>
    <s v="Versicherung"/>
    <s v="Tierschäden"/>
    <s v="z.B. DBIB Gaede&amp;Glauerdt Gruppe B"/>
    <x v="1"/>
    <n v="26"/>
    <s v="Betrieb"/>
    <m/>
    <n v="1"/>
    <m/>
    <n v="36"/>
    <m/>
    <n v="36"/>
    <n v="1.3846153846153846"/>
    <n v="3.9560439560439559E-2"/>
    <n v="1.9780219780219779E-2"/>
    <n v="0"/>
    <s v=""/>
    <s v=""/>
    <s v=""/>
  </r>
  <r>
    <n v="275"/>
    <s v="Gemeinkosten"/>
    <x v="6"/>
    <x v="0"/>
    <s v="x"/>
    <s v="x"/>
    <s v="pagatorisch"/>
    <s v="Versicherung"/>
    <s v="Haftpflicht"/>
    <s v="z.B. DBIB Gaede&amp;Glauerdt Gruppe B"/>
    <x v="2"/>
    <n v="71"/>
    <s v="Betrieb"/>
    <m/>
    <n v="1"/>
    <m/>
    <n v="52.32"/>
    <m/>
    <n v="52.32"/>
    <n v="0.73690140845070418"/>
    <n v="2.1054325955734404E-2"/>
    <n v="1.0527162977867202E-2"/>
    <n v="0"/>
    <s v=""/>
    <s v=""/>
    <s v=""/>
  </r>
  <r>
    <n v="276"/>
    <s v="Gemeinkosten"/>
    <x v="6"/>
    <x v="0"/>
    <s v="x"/>
    <s v="x"/>
    <s v="pagatorisch"/>
    <s v="Versicherung"/>
    <s v="Sachversicherung imkerliches Inventar "/>
    <s v="z.B. DBIB Gaede&amp;Glauerdt Gruppe B"/>
    <x v="2"/>
    <n v="71"/>
    <s v="Betrieb"/>
    <m/>
    <n v="1"/>
    <m/>
    <n v="277.27999999999997"/>
    <m/>
    <n v="277.27999999999997"/>
    <n v="3.9053521126760558"/>
    <n v="0.11158148893360159"/>
    <n v="5.5790744466800796E-2"/>
    <n v="0"/>
    <s v=""/>
    <s v=""/>
    <s v=""/>
  </r>
  <r>
    <n v="277"/>
    <s v="Gemeinkosten"/>
    <x v="6"/>
    <x v="0"/>
    <s v="x"/>
    <s v="x"/>
    <s v="pagatorisch"/>
    <s v="Versicherung"/>
    <s v="Belegstellen"/>
    <s v="z.B. DBIB Gaede&amp;Glauerdt Gruppe B"/>
    <x v="2"/>
    <n v="71"/>
    <s v="Betrieb"/>
    <m/>
    <n v="1"/>
    <m/>
    <n v="9.52"/>
    <m/>
    <n v="9.52"/>
    <n v="0.13408450704225353"/>
    <n v="3.8309859154929578E-3"/>
    <n v="1.9154929577464791E-3"/>
    <n v="0"/>
    <s v=""/>
    <s v=""/>
    <s v=""/>
  </r>
  <r>
    <n v="278"/>
    <s v="Gemeinkosten"/>
    <x v="6"/>
    <x v="0"/>
    <s v="x"/>
    <s v="x"/>
    <s v="pagatorisch"/>
    <s v="Versicherung"/>
    <s v="Tierschäden"/>
    <s v="z.B. DBIB Gaede&amp;Glauerdt Gruppe B"/>
    <x v="2"/>
    <n v="71"/>
    <s v="Betrieb"/>
    <m/>
    <n v="1"/>
    <m/>
    <n v="50"/>
    <m/>
    <n v="50"/>
    <n v="0.70422535211267601"/>
    <n v="2.0120724346076459E-2"/>
    <n v="1.0060362173038229E-2"/>
    <n v="0"/>
    <s v=""/>
    <s v=""/>
    <s v=""/>
  </r>
  <r>
    <n v="279"/>
    <s v="Gemeinkosten"/>
    <x v="6"/>
    <x v="0"/>
    <s v="x"/>
    <s v="x"/>
    <s v="pagatorisch"/>
    <s v="Versicherung"/>
    <s v="Haftpflicht"/>
    <s v="z.B. DBIB Gaede&amp;Glauerdt Gruppe B"/>
    <x v="3"/>
    <n v="150"/>
    <s v="Betrieb"/>
    <m/>
    <n v="1"/>
    <m/>
    <n v="57.12"/>
    <m/>
    <n v="57.12"/>
    <n v="0.38079999999999997"/>
    <n v="1.0879999999999999E-2"/>
    <n v="5.4399999999999995E-3"/>
    <n v="0"/>
    <s v=""/>
    <s v=""/>
    <s v=""/>
  </r>
  <r>
    <n v="280"/>
    <s v="Gemeinkosten"/>
    <x v="6"/>
    <x v="0"/>
    <s v="x"/>
    <s v="x"/>
    <s v="pagatorisch"/>
    <s v="Versicherung"/>
    <s v="Sachversicherung imkerliches Inventar "/>
    <s v="z.B. DBIB Gaede&amp;Glauerdt Gruppe B"/>
    <x v="3"/>
    <n v="150"/>
    <s v="Betrieb"/>
    <m/>
    <n v="1"/>
    <m/>
    <n v="410.08"/>
    <m/>
    <n v="410.08"/>
    <n v="2.7338666666666667"/>
    <n v="7.8110476190476189E-2"/>
    <n v="3.9055238095238094E-2"/>
    <n v="0"/>
    <s v=""/>
    <s v=""/>
    <s v=""/>
  </r>
  <r>
    <n v="281"/>
    <s v="Gemeinkosten"/>
    <x v="6"/>
    <x v="0"/>
    <s v="x"/>
    <s v="x"/>
    <s v="pagatorisch"/>
    <s v="Versicherung"/>
    <s v="Belegstellen"/>
    <s v="z.B. DBIB Gaede&amp;Glauerdt Gruppe B"/>
    <x v="3"/>
    <n v="150"/>
    <s v="Betrieb"/>
    <m/>
    <n v="1"/>
    <m/>
    <n v="17.86"/>
    <m/>
    <n v="17.86"/>
    <n v="0.11906666666666667"/>
    <n v="3.4019047619047618E-3"/>
    <n v="1.7009523809523809E-3"/>
    <n v="0"/>
    <s v=""/>
    <s v=""/>
    <s v=""/>
  </r>
  <r>
    <n v="282"/>
    <s v="Gemeinkosten"/>
    <x v="6"/>
    <x v="0"/>
    <s v="x"/>
    <s v="x"/>
    <s v="pagatorisch"/>
    <s v="Versicherung"/>
    <s v="Tierschäden"/>
    <s v="z.B. DBIB Gaede&amp;Glauerdt Gruppe B"/>
    <x v="3"/>
    <n v="150"/>
    <s v="Betrieb"/>
    <m/>
    <n v="1"/>
    <m/>
    <n v="80"/>
    <m/>
    <n v="80"/>
    <n v="0.53333333333333333"/>
    <n v="1.5238095238095238E-2"/>
    <n v="7.619047619047619E-3"/>
    <n v="0"/>
    <s v=""/>
    <s v=""/>
    <s v=""/>
  </r>
  <r>
    <n v="283"/>
    <s v="Gemeinkosten"/>
    <x v="6"/>
    <x v="0"/>
    <s v="x"/>
    <s v="x"/>
    <s v="pagatorisch"/>
    <s v="Beiträge_Gebühren"/>
    <s v="DIB Grundbeitrag"/>
    <s v="DIB"/>
    <x v="0"/>
    <n v="6"/>
    <s v="Betrieb"/>
    <m/>
    <n v="1"/>
    <m/>
    <n v="3.58"/>
    <m/>
    <n v="3.58"/>
    <n v="0.59666666666666668"/>
    <n v="1.7047619047619048E-2"/>
    <n v="8.5238095238095238E-3"/>
    <n v="0"/>
    <s v=""/>
    <s v=""/>
    <s v=""/>
  </r>
  <r>
    <n v="284"/>
    <s v="Gemeinkosten"/>
    <x v="6"/>
    <x v="0"/>
    <s v="x"/>
    <s v="x"/>
    <s v="pagatorisch"/>
    <s v="Beiträge_Gebühren"/>
    <s v="DIB Werbebeitrag"/>
    <s v="DIB"/>
    <x v="0"/>
    <n v="6"/>
    <s v="WV"/>
    <m/>
    <n v="1"/>
    <m/>
    <n v="0.26"/>
    <m/>
    <n v="1.56"/>
    <n v="0.26"/>
    <n v="7.4285714285714285E-3"/>
    <n v="3.7142857142857142E-3"/>
    <n v="0"/>
    <s v=""/>
    <s v=""/>
    <s v=""/>
  </r>
  <r>
    <n v="285"/>
    <s v="Gemeinkosten"/>
    <x v="6"/>
    <x v="0"/>
    <s v="x"/>
    <s v="x"/>
    <s v="pagatorisch"/>
    <s v="Beiträge_Gebühren"/>
    <s v="Landesverband Grundbeitrag"/>
    <s v="z.B. LVBI ohne Versicherungen"/>
    <x v="0"/>
    <n v="6"/>
    <s v="Betrieb"/>
    <m/>
    <n v="1"/>
    <m/>
    <n v="14"/>
    <m/>
    <n v="14"/>
    <n v="2.3333333333333335"/>
    <n v="6.6666666666666666E-2"/>
    <n v="3.3333333333333333E-2"/>
    <n v="0"/>
    <s v=""/>
    <s v=""/>
    <s v=""/>
  </r>
  <r>
    <n v="286"/>
    <s v="Gemeinkosten"/>
    <x v="6"/>
    <x v="0"/>
    <s v="x"/>
    <s v="x"/>
    <s v="pagatorisch"/>
    <s v="Beiträge_Gebühren"/>
    <s v="Ortsverein Grundbeitrag"/>
    <s v="z.B. Bezirksimkerverein München"/>
    <x v="0"/>
    <n v="6"/>
    <s v="Betrieb"/>
    <m/>
    <n v="1"/>
    <m/>
    <n v="40"/>
    <m/>
    <n v="40"/>
    <n v="6.666666666666667"/>
    <n v="0.19047619047619049"/>
    <n v="9.5238095238095247E-2"/>
    <n v="0"/>
    <s v=""/>
    <s v=""/>
    <s v=""/>
  </r>
  <r>
    <n v="287"/>
    <s v="Gemeinkosten"/>
    <x v="6"/>
    <x v="0"/>
    <s v="x"/>
    <s v="x"/>
    <s v="pagatorisch"/>
    <s v="Fortbildung"/>
    <s v="Fortbildung / Abo Fachzeitschrift"/>
    <s v="z.B. Bienen und Natur"/>
    <x v="0"/>
    <n v="6"/>
    <s v="Betrieb"/>
    <m/>
    <n v="1"/>
    <m/>
    <n v="66.900000000000006"/>
    <m/>
    <n v="66.900000000000006"/>
    <n v="11.15"/>
    <n v="0.31857142857142856"/>
    <n v="0.15928571428571428"/>
    <n v="0"/>
    <s v=""/>
    <s v=""/>
    <s v=""/>
  </r>
  <r>
    <n v="288"/>
    <s v="Gemeinkosten"/>
    <x v="6"/>
    <x v="0"/>
    <s v="x"/>
    <s v="x"/>
    <s v="pagatorisch"/>
    <s v="Fremdleistungen"/>
    <s v="Steuerberatung / Buchführungskosten"/>
    <m/>
    <x v="0"/>
    <n v="6"/>
    <s v="Betrieb"/>
    <m/>
    <n v="1"/>
    <m/>
    <n v="0"/>
    <m/>
    <n v="0"/>
    <n v="0"/>
    <n v="0"/>
    <n v="0"/>
    <n v="0"/>
    <s v=""/>
    <s v=""/>
    <s v=""/>
  </r>
  <r>
    <n v="289"/>
    <s v="Gemeinkosten"/>
    <x v="6"/>
    <x v="0"/>
    <s v="x"/>
    <s v="x"/>
    <s v="pagatorisch"/>
    <s v="Beiträge_Gebühren"/>
    <s v="DIB Grundbeitrag"/>
    <s v="DIB"/>
    <x v="1"/>
    <n v="26"/>
    <s v="Betrieb"/>
    <m/>
    <n v="1"/>
    <m/>
    <n v="3.58"/>
    <m/>
    <n v="3.58"/>
    <n v="0.1376923076923077"/>
    <n v="3.9340659340659345E-3"/>
    <n v="1.9670329670329672E-3"/>
    <n v="0"/>
    <s v=""/>
    <s v=""/>
    <s v=""/>
  </r>
  <r>
    <n v="290"/>
    <s v="Gemeinkosten"/>
    <x v="6"/>
    <x v="0"/>
    <s v="x"/>
    <s v="x"/>
    <s v="pagatorisch"/>
    <s v="Beiträge_Gebühren"/>
    <s v="DIB Werbebeitrag"/>
    <s v="DIB"/>
    <x v="1"/>
    <n v="26"/>
    <s v="WV"/>
    <m/>
    <n v="1"/>
    <m/>
    <n v="0.26"/>
    <m/>
    <n v="6.76"/>
    <n v="0.26"/>
    <n v="7.4285714285714285E-3"/>
    <n v="3.7142857142857142E-3"/>
    <n v="0"/>
    <s v=""/>
    <s v=""/>
    <s v=""/>
  </r>
  <r>
    <n v="291"/>
    <s v="Gemeinkosten"/>
    <x v="6"/>
    <x v="0"/>
    <s v="x"/>
    <s v="x"/>
    <s v="pagatorisch"/>
    <s v="Beiträge_Gebühren"/>
    <s v="Landesverband Grundbeitrag"/>
    <s v="z.B. LVBI ohne Versicherungen"/>
    <x v="1"/>
    <n v="26"/>
    <s v="Betrieb"/>
    <m/>
    <n v="1"/>
    <m/>
    <n v="14"/>
    <m/>
    <n v="14"/>
    <n v="0.53846153846153844"/>
    <n v="1.5384615384615384E-2"/>
    <n v="7.6923076923076919E-3"/>
    <n v="0"/>
    <s v=""/>
    <s v=""/>
    <s v=""/>
  </r>
  <r>
    <n v="292"/>
    <s v="Gemeinkosten"/>
    <x v="6"/>
    <x v="0"/>
    <s v="x"/>
    <s v="x"/>
    <s v="pagatorisch"/>
    <s v="Beiträge_Gebühren"/>
    <s v="Ortsverein Grundbeitrag"/>
    <s v="z.B. Bezirksimkerverein München"/>
    <x v="1"/>
    <n v="26"/>
    <s v="Betrieb"/>
    <m/>
    <n v="1"/>
    <m/>
    <n v="40"/>
    <m/>
    <n v="40"/>
    <n v="1.5384615384615385"/>
    <n v="4.3956043956043959E-2"/>
    <n v="2.197802197802198E-2"/>
    <n v="0"/>
    <s v=""/>
    <s v=""/>
    <s v=""/>
  </r>
  <r>
    <n v="293"/>
    <s v="Gemeinkosten"/>
    <x v="6"/>
    <x v="0"/>
    <s v="x"/>
    <s v="x"/>
    <s v="pagatorisch"/>
    <s v="Fortbildung"/>
    <s v="Fortbildung / Abo Fachzeitschrift"/>
    <s v="z.B. Bienen und Natur"/>
    <x v="1"/>
    <n v="26"/>
    <s v="Betrieb"/>
    <m/>
    <n v="1"/>
    <m/>
    <n v="66.900000000000006"/>
    <m/>
    <n v="66.900000000000006"/>
    <n v="2.5730769230769233"/>
    <n v="7.3516483516483516E-2"/>
    <n v="3.6758241758241758E-2"/>
    <n v="0"/>
    <s v=""/>
    <s v=""/>
    <s v=""/>
  </r>
  <r>
    <n v="294"/>
    <s v="Gemeinkosten"/>
    <x v="6"/>
    <x v="0"/>
    <s v="x"/>
    <s v="x"/>
    <s v="pagatorisch"/>
    <s v="Fremdleistungen"/>
    <s v="Steuerberatung / Buchführungskosten"/>
    <m/>
    <x v="1"/>
    <n v="26"/>
    <s v="Betrieb"/>
    <m/>
    <n v="1"/>
    <m/>
    <n v="0"/>
    <m/>
    <n v="0"/>
    <n v="0"/>
    <n v="0"/>
    <n v="0"/>
    <n v="0"/>
    <s v=""/>
    <s v=""/>
    <s v=""/>
  </r>
  <r>
    <n v="295"/>
    <s v="Gemeinkosten"/>
    <x v="6"/>
    <x v="0"/>
    <s v="x"/>
    <s v="x"/>
    <s v="pagatorisch"/>
    <s v="Beiträge_Gebühren"/>
    <s v="DIB Grundbeitrag"/>
    <s v="DIB"/>
    <x v="2"/>
    <n v="71"/>
    <s v="Betrieb"/>
    <m/>
    <n v="1"/>
    <m/>
    <n v="3.58"/>
    <m/>
    <n v="3.58"/>
    <n v="5.0422535211267605E-2"/>
    <n v="1.4406438631790744E-3"/>
    <n v="7.2032193158953718E-4"/>
    <n v="0"/>
    <s v=""/>
    <s v=""/>
    <s v=""/>
  </r>
  <r>
    <n v="296"/>
    <s v="Gemeinkosten"/>
    <x v="6"/>
    <x v="0"/>
    <s v="x"/>
    <s v="x"/>
    <s v="pagatorisch"/>
    <s v="Beiträge_Gebühren"/>
    <s v="DIB Werbebeitrag"/>
    <s v="DIB"/>
    <x v="2"/>
    <n v="71"/>
    <s v="WV"/>
    <m/>
    <n v="1"/>
    <m/>
    <n v="0.26"/>
    <m/>
    <n v="18.46"/>
    <n v="0.26"/>
    <n v="7.4285714285714285E-3"/>
    <n v="3.7142857142857142E-3"/>
    <n v="0"/>
    <s v=""/>
    <s v=""/>
    <s v=""/>
  </r>
  <r>
    <n v="297"/>
    <s v="Gemeinkosten"/>
    <x v="6"/>
    <x v="0"/>
    <s v="x"/>
    <s v="x"/>
    <s v="pagatorisch"/>
    <s v="Beiträge_Gebühren"/>
    <s v="Landesverband Grundbeitrag"/>
    <s v="z.B. LVBI ohne Versicherungen"/>
    <x v="2"/>
    <n v="71"/>
    <s v="Betrieb"/>
    <m/>
    <n v="1"/>
    <m/>
    <n v="14"/>
    <m/>
    <n v="14"/>
    <n v="0.19718309859154928"/>
    <n v="5.6338028169014079E-3"/>
    <n v="2.8169014084507039E-3"/>
    <n v="0"/>
    <s v=""/>
    <s v=""/>
    <s v=""/>
  </r>
  <r>
    <n v="298"/>
    <s v="Gemeinkosten"/>
    <x v="6"/>
    <x v="0"/>
    <s v="x"/>
    <s v="x"/>
    <s v="pagatorisch"/>
    <s v="Beiträge_Gebühren"/>
    <s v="Ortsverein Grundbeitrag"/>
    <s v="z.B. Bezirksimkerverein München"/>
    <x v="2"/>
    <n v="71"/>
    <s v="Betrieb"/>
    <m/>
    <n v="1"/>
    <m/>
    <n v="40"/>
    <m/>
    <n v="40"/>
    <n v="0.56338028169014087"/>
    <n v="1.6096579476861168E-2"/>
    <n v="8.0482897384305842E-3"/>
    <n v="0"/>
    <s v=""/>
    <s v=""/>
    <s v=""/>
  </r>
  <r>
    <n v="299"/>
    <s v="Gemeinkosten"/>
    <x v="6"/>
    <x v="0"/>
    <s v="x"/>
    <s v="x"/>
    <s v="pagatorisch"/>
    <s v="Fortbildung"/>
    <s v="Fortbildung / Abo Fachzeitschrift"/>
    <s v="z.B. Bienen und Natur"/>
    <x v="2"/>
    <n v="71"/>
    <s v="Betrieb"/>
    <m/>
    <n v="1"/>
    <m/>
    <n v="66.900000000000006"/>
    <m/>
    <n v="66.900000000000006"/>
    <n v="0.94225352112676064"/>
    <n v="2.6921529175050304E-2"/>
    <n v="1.3460764587525152E-2"/>
    <n v="0"/>
    <s v=""/>
    <s v=""/>
    <s v=""/>
  </r>
  <r>
    <n v="300"/>
    <s v="Gemeinkosten"/>
    <x v="6"/>
    <x v="0"/>
    <s v="x"/>
    <s v="x"/>
    <s v="pagatorisch"/>
    <s v="Fremdleistungen"/>
    <s v="Steuerberatung / Buchführungskosten"/>
    <m/>
    <x v="2"/>
    <n v="71"/>
    <s v="Betrieb"/>
    <m/>
    <n v="1"/>
    <m/>
    <n v="700"/>
    <m/>
    <n v="700"/>
    <n v="9.8591549295774641"/>
    <n v="0.28169014084507038"/>
    <n v="0.14084507042253519"/>
    <n v="0"/>
    <s v=""/>
    <s v=""/>
    <s v=""/>
  </r>
  <r>
    <n v="301"/>
    <s v="Gemeinkosten"/>
    <x v="6"/>
    <x v="0"/>
    <s v="x"/>
    <s v="x"/>
    <s v="pagatorisch"/>
    <s v="Beiträge_Gebühren"/>
    <s v="DIB Grundbeitrag"/>
    <s v="DIB"/>
    <x v="3"/>
    <n v="150"/>
    <s v="Betrieb"/>
    <m/>
    <n v="1"/>
    <m/>
    <n v="3.58"/>
    <m/>
    <n v="3.58"/>
    <n v="2.3866666666666668E-2"/>
    <n v="6.8190476190476193E-4"/>
    <n v="3.4095238095238097E-4"/>
    <n v="0"/>
    <s v=""/>
    <s v=""/>
    <s v=""/>
  </r>
  <r>
    <n v="302"/>
    <s v="Gemeinkosten"/>
    <x v="6"/>
    <x v="0"/>
    <s v="x"/>
    <s v="x"/>
    <s v="pagatorisch"/>
    <s v="Beiträge_Gebühren"/>
    <s v="DIB Werbebeitrag"/>
    <s v="DIB"/>
    <x v="3"/>
    <n v="150"/>
    <s v="WV"/>
    <m/>
    <n v="1"/>
    <m/>
    <n v="0.26"/>
    <m/>
    <n v="39"/>
    <n v="0.26"/>
    <n v="7.4285714285714285E-3"/>
    <n v="3.7142857142857142E-3"/>
    <n v="0"/>
    <s v=""/>
    <s v=""/>
    <s v=""/>
  </r>
  <r>
    <n v="303"/>
    <s v="Gemeinkosten"/>
    <x v="6"/>
    <x v="0"/>
    <s v="x"/>
    <s v="x"/>
    <s v="pagatorisch"/>
    <s v="Beiträge_Gebühren"/>
    <s v="Landesverband Grundbeitrag"/>
    <s v="z.B. LVBI ohne Versicherungen"/>
    <x v="3"/>
    <n v="150"/>
    <s v="Betrieb"/>
    <m/>
    <n v="1"/>
    <m/>
    <n v="14"/>
    <m/>
    <n v="14"/>
    <n v="9.3333333333333338E-2"/>
    <n v="2.6666666666666666E-3"/>
    <n v="1.3333333333333333E-3"/>
    <n v="0"/>
    <s v=""/>
    <s v=""/>
    <s v=""/>
  </r>
  <r>
    <n v="304"/>
    <s v="Gemeinkosten"/>
    <x v="6"/>
    <x v="0"/>
    <s v="x"/>
    <s v="x"/>
    <s v="pagatorisch"/>
    <s v="Beiträge_Gebühren"/>
    <s v="Ortsverein Grundbeitrag"/>
    <s v="z.B. Bezirksimkerverein München"/>
    <x v="3"/>
    <n v="150"/>
    <s v="Betrieb"/>
    <m/>
    <n v="1"/>
    <m/>
    <n v="40"/>
    <m/>
    <n v="40"/>
    <n v="0.26666666666666666"/>
    <n v="7.619047619047619E-3"/>
    <n v="3.8095238095238095E-3"/>
    <n v="0"/>
    <s v=""/>
    <s v=""/>
    <s v=""/>
  </r>
  <r>
    <n v="305"/>
    <s v="Gemeinkosten"/>
    <x v="6"/>
    <x v="0"/>
    <s v="x"/>
    <s v="x"/>
    <s v="pagatorisch"/>
    <s v="Beiträge_Gebühren"/>
    <s v="DBIB Grundbeitrag"/>
    <s v="DBIB"/>
    <x v="3"/>
    <n v="150"/>
    <s v="Betrieb"/>
    <m/>
    <n v="1"/>
    <m/>
    <n v="250"/>
    <m/>
    <n v="250"/>
    <n v="1.6666666666666667"/>
    <n v="4.7619047619047623E-2"/>
    <n v="2.3809523809523812E-2"/>
    <n v="0"/>
    <s v=""/>
    <s v=""/>
    <s v=""/>
  </r>
  <r>
    <n v="306"/>
    <s v="Gemeinkosten"/>
    <x v="6"/>
    <x v="0"/>
    <s v="x"/>
    <s v="x"/>
    <s v="pagatorisch"/>
    <s v="Beiträge_Gebühren"/>
    <s v="Rundfunkbeitrag"/>
    <s v="1 Betriebsstätte mit 1 KFZ separat"/>
    <x v="3"/>
    <n v="150"/>
    <s v="Betrieb"/>
    <m/>
    <n v="1"/>
    <m/>
    <n v="146.88"/>
    <m/>
    <n v="146.88"/>
    <n v="0.97919999999999996"/>
    <n v="2.7977142857142857E-2"/>
    <n v="1.3988571428571428E-2"/>
    <n v="0"/>
    <s v=""/>
    <s v=""/>
    <s v=""/>
  </r>
  <r>
    <n v="307"/>
    <s v="Gemeinkosten"/>
    <x v="6"/>
    <x v="0"/>
    <s v="x"/>
    <s v="x"/>
    <s v="pagatorisch"/>
    <s v="Fortbildung"/>
    <s v="Fortbildung / Abo Fachzeitschrift"/>
    <s v="z.B. Bienen und Natur"/>
    <x v="3"/>
    <n v="150"/>
    <s v="Betrieb"/>
    <m/>
    <n v="1"/>
    <m/>
    <n v="66.900000000000006"/>
    <m/>
    <n v="66.900000000000006"/>
    <n v="0.44600000000000006"/>
    <n v="1.2742857142857144E-2"/>
    <n v="6.3714285714285722E-3"/>
    <n v="0"/>
    <s v=""/>
    <s v=""/>
    <s v=""/>
  </r>
  <r>
    <n v="308"/>
    <s v="Gemeinkosten"/>
    <x v="6"/>
    <x v="0"/>
    <s v="x"/>
    <s v="x"/>
    <s v="pagatorisch"/>
    <s v="Fremdleistungen"/>
    <s v="Steuerberatung / Buchführungskosten"/>
    <m/>
    <x v="3"/>
    <n v="150"/>
    <s v="Betrieb"/>
    <m/>
    <n v="1"/>
    <m/>
    <n v="1000"/>
    <m/>
    <n v="1000"/>
    <n v="6.666666666666667"/>
    <n v="0.19047619047619049"/>
    <n v="9.5238095238095247E-2"/>
    <n v="0"/>
    <s v=""/>
    <s v=""/>
    <s v=""/>
  </r>
  <r>
    <n v="309"/>
    <s v="Gemeinkosten"/>
    <x v="6"/>
    <x v="0"/>
    <s v="x"/>
    <s v="x"/>
    <s v="pagatorisch"/>
    <s v="Telekommunikation"/>
    <s v="Hosting Homepage / Mobiltelefonie"/>
    <m/>
    <x v="0"/>
    <n v="6"/>
    <s v="Betrieb"/>
    <m/>
    <n v="1"/>
    <m/>
    <n v="12"/>
    <m/>
    <n v="12"/>
    <n v="2"/>
    <n v="5.7142857142857141E-2"/>
    <n v="2.8571428571428571E-2"/>
    <n v="0"/>
    <s v=""/>
    <s v=""/>
    <s v=""/>
  </r>
  <r>
    <n v="310"/>
    <s v="Gemeinkosten"/>
    <x v="6"/>
    <x v="0"/>
    <s v="x"/>
    <s v="x"/>
    <s v="pagatorisch"/>
    <s v="Telekommunikation"/>
    <s v="Hosting Homepage / Mobiltelefonie"/>
    <m/>
    <x v="1"/>
    <n v="26"/>
    <s v="Betrieb"/>
    <m/>
    <n v="1"/>
    <m/>
    <n v="50"/>
    <m/>
    <n v="50"/>
    <n v="1.9230769230769231"/>
    <n v="5.4945054945054944E-2"/>
    <n v="2.7472527472527472E-2"/>
    <n v="0"/>
    <s v=""/>
    <s v=""/>
    <s v=""/>
  </r>
  <r>
    <n v="311"/>
    <s v="Gemeinkosten"/>
    <x v="6"/>
    <x v="0"/>
    <s v="x"/>
    <s v="x"/>
    <s v="pagatorisch"/>
    <s v="Telekommunikation"/>
    <s v="Hosting Homepage / Mobiltelefonie"/>
    <m/>
    <x v="2"/>
    <n v="71"/>
    <s v="Betrieb"/>
    <m/>
    <n v="1"/>
    <m/>
    <n v="100"/>
    <m/>
    <n v="100"/>
    <n v="1.408450704225352"/>
    <n v="4.0241448692152917E-2"/>
    <n v="2.0120724346076459E-2"/>
    <n v="0"/>
    <s v=""/>
    <s v=""/>
    <s v=""/>
  </r>
  <r>
    <n v="312"/>
    <s v="Gemeinkosten"/>
    <x v="6"/>
    <x v="0"/>
    <s v="x"/>
    <s v="x"/>
    <s v="pagatorisch"/>
    <s v="Telekommunikation"/>
    <s v="Hosting Homepage / Mobiltelefonie"/>
    <m/>
    <x v="3"/>
    <n v="150"/>
    <s v="Betrieb"/>
    <m/>
    <n v="1"/>
    <m/>
    <n v="200"/>
    <m/>
    <n v="200"/>
    <n v="1.3333333333333333"/>
    <n v="3.8095238095238092E-2"/>
    <n v="1.9047619047619046E-2"/>
    <n v="0"/>
    <s v=""/>
    <s v=""/>
    <s v=""/>
  </r>
  <r>
    <n v="313"/>
    <s v="Vertrieb"/>
    <x v="7"/>
    <x v="0"/>
    <m/>
    <m/>
    <s v="kalkulatorisch"/>
    <s v="Pauschalkosten Vertrieb"/>
    <s v="Verkaufsvorgang (Gespräch, Zahlungsvorgang, Belegerstellung, Pfandrücknahme….)"/>
    <m/>
    <x v="0"/>
    <n v="6"/>
    <s v="kg"/>
    <m/>
    <n v="2"/>
    <m/>
    <m/>
    <m/>
    <n v="420"/>
    <n v="70"/>
    <n v="2"/>
    <n v="1"/>
    <n v="0"/>
    <s v=""/>
    <s v=""/>
    <s v=""/>
  </r>
  <r>
    <n v="314"/>
    <s v="Vertrieb"/>
    <x v="7"/>
    <x v="0"/>
    <m/>
    <m/>
    <s v="kalkulatorisch"/>
    <s v="Sozialversicherung"/>
    <s v="Sozialversicherung"/>
    <s v="https://www.destatis.de/DE/Themen/Arbeit/Arbeitskosten-Lohnnebenkosten/Tabellen/lohnkosten-deutschland.html"/>
    <x v="0"/>
    <n v="6"/>
    <s v="kg"/>
    <m/>
    <m/>
    <m/>
    <m/>
    <m/>
    <n v="0"/>
    <n v="0"/>
    <n v="0"/>
    <n v="0"/>
    <n v="0"/>
    <s v=""/>
    <s v=""/>
    <s v=""/>
  </r>
  <r>
    <n v="315"/>
    <s v="Vertrieb"/>
    <x v="7"/>
    <x v="0"/>
    <m/>
    <m/>
    <s v="kalkulatorisch"/>
    <s v="Pauschalkosten Vertrieb"/>
    <s v="Verkaufsvorgang (Gespräch, Zahlungsvorgang, Belegerstellung, Pfandrücknahme….)"/>
    <m/>
    <x v="1"/>
    <n v="26"/>
    <s v="kg"/>
    <m/>
    <n v="2"/>
    <m/>
    <m/>
    <m/>
    <n v="1820"/>
    <n v="70"/>
    <n v="2"/>
    <n v="1"/>
    <n v="0"/>
    <s v=""/>
    <s v=""/>
    <s v=""/>
  </r>
  <r>
    <n v="316"/>
    <s v="Vertrieb"/>
    <x v="7"/>
    <x v="0"/>
    <m/>
    <m/>
    <s v="kalkulatorisch"/>
    <s v="Sozialversicherung"/>
    <s v="Sozialversicherung"/>
    <s v="https://www.destatis.de/DE/Themen/Arbeit/Arbeitskosten-Lohnnebenkosten/Tabellen/lohnkosten-deutschland.html"/>
    <x v="1"/>
    <n v="26"/>
    <s v="kg"/>
    <m/>
    <m/>
    <m/>
    <m/>
    <m/>
    <n v="0"/>
    <n v="0"/>
    <n v="0"/>
    <n v="0"/>
    <n v="0"/>
    <s v=""/>
    <s v=""/>
    <s v=""/>
  </r>
  <r>
    <n v="317"/>
    <s v="Vertrieb"/>
    <x v="7"/>
    <x v="0"/>
    <m/>
    <m/>
    <s v="kalkulatorisch"/>
    <s v="Pauschalkosten Vertrieb"/>
    <s v="Verkaufsvorgang (Gespräch, Zahlungsvorgang, Belegerstellung, Pfandrücknahme….)"/>
    <m/>
    <x v="2"/>
    <n v="71"/>
    <s v="kg"/>
    <m/>
    <n v="2"/>
    <m/>
    <m/>
    <m/>
    <n v="4970"/>
    <n v="70"/>
    <n v="2"/>
    <n v="1"/>
    <n v="0"/>
    <s v=""/>
    <s v=""/>
    <s v=""/>
  </r>
  <r>
    <n v="318"/>
    <s v="Vertrieb"/>
    <x v="7"/>
    <x v="0"/>
    <m/>
    <m/>
    <s v="kalkulatorisch"/>
    <s v="Sozialversicherung"/>
    <s v="Sozialversicherung"/>
    <s v="https://www.destatis.de/DE/Themen/Arbeit/Arbeitskosten-Lohnnebenkosten/Tabellen/lohnkosten-deutschland.html"/>
    <x v="2"/>
    <n v="71"/>
    <s v="kg"/>
    <m/>
    <m/>
    <m/>
    <m/>
    <m/>
    <n v="0"/>
    <n v="0"/>
    <n v="0"/>
    <n v="0"/>
    <n v="0"/>
    <s v=""/>
    <s v=""/>
    <s v=""/>
  </r>
  <r>
    <n v="319"/>
    <s v="Vertrieb"/>
    <x v="7"/>
    <x v="0"/>
    <m/>
    <m/>
    <s v="kalkulatorisch"/>
    <s v="Pauschalkosten Vertrieb"/>
    <s v="Verkaufsvorgang (Gespräch, Zahlungsvorgang, Belegerstellung, Pfandrücknahme….)"/>
    <m/>
    <x v="3"/>
    <n v="150"/>
    <s v="kg"/>
    <m/>
    <n v="2"/>
    <m/>
    <m/>
    <m/>
    <n v="10500"/>
    <n v="70"/>
    <n v="2"/>
    <n v="1"/>
    <n v="0"/>
    <s v=""/>
    <s v=""/>
    <s v=""/>
  </r>
  <r>
    <n v="320"/>
    <s v="Vertrieb"/>
    <x v="7"/>
    <x v="0"/>
    <m/>
    <m/>
    <s v="kalkulatorisch"/>
    <s v="Sozialversicherung"/>
    <s v="Sozialversicherung"/>
    <s v="https://www.destatis.de/DE/Themen/Arbeit/Arbeitskosten-Lohnnebenkosten/Tabellen/lohnkosten-deutschland.html"/>
    <x v="3"/>
    <n v="150"/>
    <s v="kg"/>
    <m/>
    <m/>
    <m/>
    <m/>
    <m/>
    <n v="0"/>
    <n v="0"/>
    <n v="0"/>
    <n v="0"/>
    <n v="0"/>
    <s v=""/>
    <s v=""/>
    <s v=""/>
  </r>
  <r>
    <n v="321"/>
    <s v="Unternehmenswagnis"/>
    <x v="8"/>
    <x v="0"/>
    <m/>
    <m/>
    <s v="kalkulatorisch"/>
    <s v="Unternehmenswagnis"/>
    <m/>
    <m/>
    <x v="0"/>
    <n v="6"/>
    <s v="Betrieb"/>
    <m/>
    <m/>
    <m/>
    <n v="0.1"/>
    <m/>
    <n v="380.25591768627464"/>
    <n v="63.375986281045776"/>
    <n v="1.8107424651727364"/>
    <n v="0.9053712325863682"/>
    <n v="0"/>
    <s v=""/>
    <s v=""/>
    <s v=""/>
  </r>
  <r>
    <n v="322"/>
    <s v="Unternehmenswagnis"/>
    <x v="8"/>
    <x v="0"/>
    <m/>
    <m/>
    <s v="kalkulatorisch"/>
    <s v="Unternehmenswagnis"/>
    <m/>
    <m/>
    <x v="1"/>
    <n v="26"/>
    <s v="Betrieb"/>
    <m/>
    <m/>
    <m/>
    <n v="0.1"/>
    <m/>
    <n v="1317.5189549554368"/>
    <n v="50.673805959824492"/>
    <n v="1.4478230274235568"/>
    <n v="0.72391151371177842"/>
    <n v="0"/>
    <s v=""/>
    <s v=""/>
    <s v=""/>
  </r>
  <r>
    <n v="323"/>
    <s v="Unternehmenswagnis"/>
    <x v="8"/>
    <x v="0"/>
    <m/>
    <m/>
    <s v="kalkulatorisch"/>
    <s v="Unternehmenswagnis"/>
    <m/>
    <m/>
    <x v="2"/>
    <n v="71"/>
    <s v="Betrieb"/>
    <m/>
    <m/>
    <m/>
    <n v="0.1"/>
    <m/>
    <n v="3821.1655389539651"/>
    <n v="53.819232943013596"/>
    <n v="1.5376923698003884"/>
    <n v="0.76884618490019419"/>
    <n v="0"/>
    <s v=""/>
    <s v=""/>
    <s v=""/>
  </r>
  <r>
    <n v="324"/>
    <s v="Unternehmenswagnis"/>
    <x v="8"/>
    <x v="0"/>
    <m/>
    <m/>
    <s v="kalkulatorisch"/>
    <s v="Unternehmenswagnis"/>
    <m/>
    <m/>
    <x v="3"/>
    <n v="150"/>
    <s v="Betrieb"/>
    <m/>
    <m/>
    <m/>
    <n v="0.1"/>
    <m/>
    <n v="6869.6265753281659"/>
    <n v="45.79751050218777"/>
    <n v="1.3085003000625077"/>
    <n v="0.65425015003125386"/>
    <n v="0"/>
    <s v=""/>
    <s v=""/>
    <s v=""/>
  </r>
  <r>
    <n v="325"/>
    <s v="Unternehmenswagnis"/>
    <x v="8"/>
    <x v="1"/>
    <s v="x"/>
    <m/>
    <s v="kalkulatorisch"/>
    <s v="Unternehmenswagnis"/>
    <m/>
    <m/>
    <x v="0"/>
    <n v="6"/>
    <s v="Betrieb"/>
    <m/>
    <m/>
    <m/>
    <n v="0.1"/>
    <m/>
    <n v="338.25591768627464"/>
    <n v="56.375986281045776"/>
    <n v="1.6107424651727364"/>
    <n v="0.80537123258636822"/>
    <n v="0"/>
    <s v=""/>
    <s v=""/>
    <s v=""/>
  </r>
  <r>
    <n v="326"/>
    <s v="Unternehmenswagnis"/>
    <x v="8"/>
    <x v="1"/>
    <s v="x"/>
    <m/>
    <s v="kalkulatorisch"/>
    <s v="Unternehmenswagnis"/>
    <m/>
    <m/>
    <x v="1"/>
    <n v="26"/>
    <s v="Betrieb"/>
    <m/>
    <m/>
    <m/>
    <n v="0.1"/>
    <m/>
    <n v="1135.5189549554368"/>
    <n v="43.673805959824492"/>
    <n v="1.2478230274235569"/>
    <n v="0.62391151371177844"/>
    <n v="0"/>
    <s v=""/>
    <s v=""/>
    <s v=""/>
  </r>
  <r>
    <n v="327"/>
    <s v="Unternehmenswagnis"/>
    <x v="8"/>
    <x v="1"/>
    <s v="x"/>
    <m/>
    <s v="kalkulatorisch"/>
    <s v="Unternehmenswagnis"/>
    <m/>
    <m/>
    <x v="2"/>
    <n v="71"/>
    <s v="Betrieb"/>
    <m/>
    <m/>
    <m/>
    <n v="0.1"/>
    <m/>
    <n v="3324.1655389539651"/>
    <n v="46.819232943013596"/>
    <n v="1.3376923698003884"/>
    <n v="0.66884618490019421"/>
    <n v="0"/>
    <s v=""/>
    <s v=""/>
    <s v=""/>
  </r>
  <r>
    <n v="328"/>
    <s v="Unternehmenswagnis"/>
    <x v="8"/>
    <x v="1"/>
    <s v="x"/>
    <m/>
    <s v="kalkulatorisch"/>
    <s v="Unternehmenswagnis"/>
    <m/>
    <m/>
    <x v="3"/>
    <n v="150"/>
    <s v="Betrieb"/>
    <m/>
    <m/>
    <m/>
    <n v="0.1"/>
    <m/>
    <n v="5819.6265753281659"/>
    <n v="38.79751050218777"/>
    <n v="1.1085003000625078"/>
    <n v="0.55425015003125389"/>
    <n v="0"/>
    <s v=""/>
    <s v=""/>
    <s v=""/>
  </r>
  <r>
    <n v="329"/>
    <s v="Unternehmenswagnis"/>
    <x v="8"/>
    <x v="1"/>
    <m/>
    <s v="x"/>
    <s v="kalkulatorisch"/>
    <s v="Unternehmenswagnis"/>
    <m/>
    <m/>
    <x v="0"/>
    <n v="6"/>
    <s v="Betrieb"/>
    <m/>
    <m/>
    <m/>
    <n v="0.1"/>
    <m/>
    <n v="245.45557835294122"/>
    <n v="40.909263058823534"/>
    <n v="1.1688360873949581"/>
    <n v="0.58441804369747907"/>
    <n v="0"/>
    <s v=""/>
    <s v=""/>
    <s v=""/>
  </r>
  <r>
    <n v="330"/>
    <s v="Unternehmenswagnis"/>
    <x v="8"/>
    <x v="1"/>
    <m/>
    <s v="x"/>
    <s v="kalkulatorisch"/>
    <s v="Unternehmenswagnis"/>
    <m/>
    <m/>
    <x v="1"/>
    <n v="26"/>
    <s v="Betrieb"/>
    <m/>
    <m/>
    <m/>
    <n v="0.1"/>
    <m/>
    <n v="868.83677828877012"/>
    <n v="33.4167991649527"/>
    <n v="0.95476569042722004"/>
    <n v="0.47738284521361002"/>
    <n v="0"/>
    <s v=""/>
    <s v=""/>
    <s v=""/>
  </r>
  <r>
    <n v="331"/>
    <s v="Unternehmenswagnis"/>
    <x v="8"/>
    <x v="1"/>
    <m/>
    <s v="x"/>
    <s v="kalkulatorisch"/>
    <s v="Unternehmenswagnis"/>
    <m/>
    <m/>
    <x v="2"/>
    <n v="71"/>
    <s v="Betrieb"/>
    <m/>
    <m/>
    <m/>
    <n v="0.1"/>
    <m/>
    <n v="2447.1008741532983"/>
    <n v="34.466209495116878"/>
    <n v="0.98474884271762508"/>
    <n v="0.49237442135881249"/>
    <n v="0"/>
    <s v=""/>
    <s v=""/>
    <s v=""/>
  </r>
  <r>
    <n v="332"/>
    <s v="Unternehmenswagnis"/>
    <x v="8"/>
    <x v="1"/>
    <m/>
    <s v="x"/>
    <s v="kalkulatorisch"/>
    <s v="Unternehmenswagnis"/>
    <m/>
    <m/>
    <x v="3"/>
    <n v="150"/>
    <s v="Betrieb"/>
    <m/>
    <m/>
    <m/>
    <n v="0.1"/>
    <m/>
    <n v="4245.040405561499"/>
    <n v="28.300269370409993"/>
    <n v="0.80857912486885697"/>
    <n v="0.40428956243442848"/>
    <n v="0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3EA72D-38C1-4A10-85C2-0D451ED6F6D3}" name="PivotTable5" cacheId="27" applyNumberFormats="0" applyBorderFormats="0" applyFontFormats="0" applyPatternFormats="0" applyAlignmentFormats="0" applyWidthHeightFormats="1" dataCaption="Werte" grandTotalCaption="Summe EUR/Gebinde" updatedVersion="8" minRefreshableVersion="3" useAutoFormatting="1" colGrandTotals="0" itemPrintTitles="1" createdVersion="8" indent="0" outline="1" outlineData="1" multipleFieldFilters="0" chartFormat="1" rowHeaderCaption="Kostenart" colHeaderCaption="Größe">
  <location ref="M5:Q20" firstHeaderRow="1" firstDataRow="2" firstDataCol="1" rowPageCount="1" colPageCount="1"/>
  <pivotFields count="23">
    <pivotField showAll="0"/>
    <pivotField showAll="0"/>
    <pivotField showAll="0"/>
    <pivotField multipleItemSelectionAllowed="1" showAll="0"/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axis="axisRow" showAll="0" sortType="descending">
      <items count="15">
        <item x="1"/>
        <item x="2"/>
        <item x="7"/>
        <item x="10"/>
        <item x="8"/>
        <item x="6"/>
        <item x="3"/>
        <item x="0"/>
        <item x="5"/>
        <item x="4"/>
        <item x="11"/>
        <item x="13"/>
        <item x="9"/>
        <item x="1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  <pivotField numFmtId="4" showAll="0"/>
  </pivotFields>
  <rowFields count="1">
    <field x="7"/>
  </rowFields>
  <rowItems count="14">
    <i>
      <x v="7"/>
    </i>
    <i>
      <x v="1"/>
    </i>
    <i>
      <x v="8"/>
    </i>
    <i>
      <x/>
    </i>
    <i>
      <x v="11"/>
    </i>
    <i>
      <x v="9"/>
    </i>
    <i>
      <x v="4"/>
    </i>
    <i>
      <x v="5"/>
    </i>
    <i>
      <x v="2"/>
    </i>
    <i>
      <x v="12"/>
    </i>
    <i>
      <x v="10"/>
    </i>
    <i>
      <x v="6"/>
    </i>
    <i>
      <x v="3"/>
    </i>
    <i t="grand">
      <x/>
    </i>
  </rowItems>
  <colFields count="1">
    <field x="10"/>
  </colFields>
  <colItems count="4">
    <i>
      <x/>
    </i>
    <i>
      <x v="1"/>
    </i>
    <i>
      <x v="2"/>
    </i>
    <i>
      <x v="3"/>
    </i>
  </colItems>
  <pageFields count="1">
    <pageField fld="5" hier="-1"/>
  </pageFields>
  <dataFields count="1">
    <dataField name="Kosten" fld="21" baseField="0" baseItem="0" numFmtId="43"/>
  </dataFields>
  <formats count="17">
    <format dxfId="494">
      <pivotArea outline="0" collapsedLevelsAreSubtotals="1" fieldPosition="0"/>
    </format>
    <format dxfId="493">
      <pivotArea dataOnly="0" labelOnly="1" fieldPosition="0">
        <references count="1">
          <reference field="10" count="0"/>
        </references>
      </pivotArea>
    </format>
    <format dxfId="492">
      <pivotArea dataOnly="0" labelOnly="1" fieldPosition="0">
        <references count="1">
          <reference field="10" count="0"/>
        </references>
      </pivotArea>
    </format>
    <format dxfId="491">
      <pivotArea dataOnly="0" labelOnly="1" fieldPosition="0">
        <references count="1">
          <reference field="10" count="0"/>
        </references>
      </pivotArea>
    </format>
    <format dxfId="490">
      <pivotArea field="5" type="button" dataOnly="0" labelOnly="1" outline="0" axis="axisPage" fieldPosition="0"/>
    </format>
    <format dxfId="489">
      <pivotArea outline="0" collapsedLevelsAreSubtotals="1" fieldPosition="0"/>
    </format>
    <format dxfId="488">
      <pivotArea dataOnly="0" labelOnly="1" fieldPosition="0">
        <references count="1">
          <reference field="10" count="0"/>
        </references>
      </pivotArea>
    </format>
    <format dxfId="487">
      <pivotArea field="5" type="button" dataOnly="0" labelOnly="1" outline="0" axis="axisPage" fieldPosition="0"/>
    </format>
    <format dxfId="436">
      <pivotArea type="all" dataOnly="0" outline="0" fieldPosition="0"/>
    </format>
    <format dxfId="435">
      <pivotArea outline="0" collapsedLevelsAreSubtotals="1" fieldPosition="0"/>
    </format>
    <format dxfId="434">
      <pivotArea type="origin" dataOnly="0" labelOnly="1" outline="0" fieldPosition="0"/>
    </format>
    <format dxfId="433">
      <pivotArea field="10" type="button" dataOnly="0" labelOnly="1" outline="0" axis="axisCol" fieldPosition="0"/>
    </format>
    <format dxfId="432">
      <pivotArea type="topRight" dataOnly="0" labelOnly="1" outline="0" fieldPosition="0"/>
    </format>
    <format dxfId="431">
      <pivotArea field="7" type="button" dataOnly="0" labelOnly="1" outline="0" axis="axisRow" fieldPosition="0"/>
    </format>
    <format dxfId="430">
      <pivotArea dataOnly="0" labelOnly="1" fieldPosition="0">
        <references count="1">
          <reference field="7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29">
      <pivotArea dataOnly="0" labelOnly="1" grandRow="1" outline="0" fieldPosition="0"/>
    </format>
    <format dxfId="428">
      <pivotArea dataOnly="0" labelOnly="1" fieldPosition="0">
        <references count="1">
          <reference field="10" count="0"/>
        </references>
      </pivotArea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B717E3-D6DD-454B-86CC-FA273184D071}" name="PivotTable1" cacheId="33" dataPosition="0" applyNumberFormats="0" applyBorderFormats="0" applyFontFormats="0" applyPatternFormats="0" applyAlignmentFormats="0" applyWidthHeightFormats="1" dataCaption="Werte" grandTotalCaption="Summe" updatedVersion="8" minRefreshableVersion="3" useAutoFormatting="1" colGrandTotals="0" itemPrintTitles="1" createdVersion="8" indent="0" outline="1" outlineData="1" multipleFieldFilters="0" rowHeaderCaption="Betriebsgröße (Anzahl Völker)">
  <location ref="A5:I17" firstHeaderRow="1" firstDataRow="3" firstDataCol="1" rowPageCount="1" colPageCount="1"/>
  <pivotFields count="26">
    <pivotField showAll="0"/>
    <pivotField showAll="0"/>
    <pivotField axis="axisRow" showAll="0" sortType="descending">
      <items count="10">
        <item x="5"/>
        <item x="1"/>
        <item x="6"/>
        <item x="3"/>
        <item x="4"/>
        <item x="8"/>
        <item x="7"/>
        <item x="0"/>
        <item x="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Col" showAll="0" defaultSubtotal="0">
      <items count="4">
        <item x="0"/>
        <item x="1"/>
        <item x="2"/>
        <item x="3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dataField="1" numFmtId="4" showAll="0"/>
    <pivotField dataField="1" showAll="0"/>
    <pivotField showAll="0"/>
    <pivotField showAll="0"/>
  </pivotFields>
  <rowFields count="1">
    <field x="2"/>
  </rowFields>
  <rowItems count="10">
    <i>
      <x v="7"/>
    </i>
    <i>
      <x v="4"/>
    </i>
    <i>
      <x v="3"/>
    </i>
    <i>
      <x v="8"/>
    </i>
    <i>
      <x v="1"/>
    </i>
    <i>
      <x v="6"/>
    </i>
    <i>
      <x v="2"/>
    </i>
    <i>
      <x/>
    </i>
    <i>
      <x v="5"/>
    </i>
    <i t="grand">
      <x/>
    </i>
  </rowItems>
  <colFields count="2">
    <field x="-2"/>
    <field x="10"/>
  </colFields>
  <colItems count="8">
    <i>
      <x/>
      <x/>
    </i>
    <i r="1">
      <x v="1"/>
    </i>
    <i r="1">
      <x v="2"/>
    </i>
    <i r="1">
      <x v="3"/>
    </i>
    <i i="1">
      <x v="1"/>
      <x/>
    </i>
    <i r="1" i="1">
      <x v="1"/>
    </i>
    <i r="1" i="1">
      <x v="2"/>
    </i>
    <i r="1" i="1">
      <x v="3"/>
    </i>
  </colItems>
  <pageFields count="1">
    <pageField fld="3" item="0" hier="-1"/>
  </pageFields>
  <dataFields count="2">
    <dataField name="Investition Sachanlagen EUR / Volk" fld="22" baseField="2" baseItem="0" numFmtId="4"/>
    <dataField name="Arbeitszeit AKh/Volk und Jahr" fld="23" baseField="2" baseItem="0"/>
  </dataFields>
  <formats count="17">
    <format dxfId="441">
      <pivotArea outline="0" collapsedLevelsAreSubtotals="1" fieldPosition="0"/>
    </format>
    <format dxfId="440">
      <pivotArea dataOnly="0" labelOnly="1" fieldPosition="0">
        <references count="2">
          <reference field="4294967294" count="1" selected="0">
            <x v="0"/>
          </reference>
          <reference field="10" count="0"/>
        </references>
      </pivotArea>
    </format>
    <format dxfId="439">
      <pivotArea dataOnly="0" labelOnly="1" fieldPosition="0">
        <references count="2">
          <reference field="4294967294" count="1" selected="0">
            <x v="1"/>
          </reference>
          <reference field="10" count="0"/>
        </references>
      </pivotArea>
    </format>
    <format dxfId="438">
      <pivotArea outline="0" collapsedLevelsAreSubtotals="1" fieldPosition="0">
        <references count="2">
          <reference field="4294967294" count="1" selected="0">
            <x v="1"/>
          </reference>
          <reference field="10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43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51">
      <pivotArea type="all" dataOnly="0" outline="0" fieldPosition="0"/>
    </format>
    <format dxfId="350">
      <pivotArea outline="0" collapsedLevelsAreSubtotals="1" fieldPosition="0"/>
    </format>
    <format dxfId="349">
      <pivotArea type="origin" dataOnly="0" labelOnly="1" outline="0" fieldPosition="0"/>
    </format>
    <format dxfId="348">
      <pivotArea field="-2" type="button" dataOnly="0" labelOnly="1" outline="0" axis="axisCol" fieldPosition="0"/>
    </format>
    <format dxfId="347">
      <pivotArea field="10" type="button" dataOnly="0" labelOnly="1" outline="0" axis="axisCol" fieldPosition="1"/>
    </format>
    <format dxfId="346">
      <pivotArea type="topRight" dataOnly="0" labelOnly="1" outline="0" fieldPosition="0"/>
    </format>
    <format dxfId="345">
      <pivotArea field="2" type="button" dataOnly="0" labelOnly="1" outline="0" axis="axisRow" fieldPosition="0"/>
    </format>
    <format dxfId="344">
      <pivotArea dataOnly="0" labelOnly="1" fieldPosition="0">
        <references count="1">
          <reference field="2" count="0"/>
        </references>
      </pivotArea>
    </format>
    <format dxfId="343">
      <pivotArea dataOnly="0" labelOnly="1" grandRow="1" outline="0" fieldPosition="0"/>
    </format>
    <format dxfId="3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1">
      <pivotArea dataOnly="0" labelOnly="1" fieldPosition="0">
        <references count="2">
          <reference field="4294967294" count="1" selected="0">
            <x v="0"/>
          </reference>
          <reference field="10" count="0"/>
        </references>
      </pivotArea>
    </format>
    <format dxfId="340">
      <pivotArea dataOnly="0" labelOnly="1" fieldPosition="0">
        <references count="2">
          <reference field="4294967294" count="1" selected="0">
            <x v="1"/>
          </reference>
          <reference field="1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197F55-F4E9-40C1-8D67-9E06F7DCB76F}" name="PivotTable4" cacheId="27" applyNumberFormats="0" applyBorderFormats="0" applyFontFormats="0" applyPatternFormats="0" applyAlignmentFormats="0" applyWidthHeightFormats="1" dataCaption="Werte" grandTotalCaption="Summe EUR/Gebinde" updatedVersion="8" minRefreshableVersion="3" useAutoFormatting="1" colGrandTotals="0" itemPrintTitles="1" createdVersion="8" indent="0" outline="1" outlineData="1" multipleFieldFilters="0" chartFormat="1" rowHeaderCaption="Kostenart" colHeaderCaption="Größe">
  <location ref="G5:K20" firstHeaderRow="1" firstDataRow="2" firstDataCol="1" rowPageCount="1" colPageCount="1"/>
  <pivotFields count="23">
    <pivotField showAll="0"/>
    <pivotField showAll="0"/>
    <pivotField showAll="0"/>
    <pivotField multipleItemSelectionAllowed="1" showAll="0"/>
    <pivotField axis="axisPage" multipleItemSelectionAllowed="1" showAll="0">
      <items count="3">
        <item x="0"/>
        <item h="1" x="1"/>
        <item t="default"/>
      </items>
    </pivotField>
    <pivotField showAll="0"/>
    <pivotField showAll="0"/>
    <pivotField axis="axisRow" showAll="0" sortType="descending">
      <items count="15">
        <item x="1"/>
        <item x="2"/>
        <item x="7"/>
        <item x="10"/>
        <item x="8"/>
        <item x="6"/>
        <item x="3"/>
        <item x="0"/>
        <item x="5"/>
        <item x="4"/>
        <item x="11"/>
        <item x="13"/>
        <item x="9"/>
        <item x="1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  <pivotField numFmtId="4" showAll="0"/>
  </pivotFields>
  <rowFields count="1">
    <field x="7"/>
  </rowFields>
  <rowItems count="14">
    <i>
      <x v="7"/>
    </i>
    <i>
      <x v="8"/>
    </i>
    <i>
      <x v="1"/>
    </i>
    <i>
      <x/>
    </i>
    <i>
      <x v="11"/>
    </i>
    <i>
      <x v="9"/>
    </i>
    <i>
      <x v="5"/>
    </i>
    <i>
      <x v="4"/>
    </i>
    <i>
      <x v="2"/>
    </i>
    <i>
      <x v="12"/>
    </i>
    <i>
      <x v="10"/>
    </i>
    <i>
      <x v="6"/>
    </i>
    <i>
      <x v="3"/>
    </i>
    <i t="grand">
      <x/>
    </i>
  </rowItems>
  <colFields count="1">
    <field x="10"/>
  </colFields>
  <colItems count="4">
    <i>
      <x/>
    </i>
    <i>
      <x v="1"/>
    </i>
    <i>
      <x v="2"/>
    </i>
    <i>
      <x v="3"/>
    </i>
  </colItems>
  <pageFields count="1">
    <pageField fld="4" hier="-1"/>
  </pageFields>
  <dataFields count="1">
    <dataField name="Kosten" fld="21" baseField="0" baseItem="0" numFmtId="43"/>
  </dataFields>
  <formats count="16">
    <format dxfId="501">
      <pivotArea outline="0" collapsedLevelsAreSubtotals="1" fieldPosition="0"/>
    </format>
    <format dxfId="500">
      <pivotArea dataOnly="0" labelOnly="1" fieldPosition="0">
        <references count="1">
          <reference field="10" count="0"/>
        </references>
      </pivotArea>
    </format>
    <format dxfId="499">
      <pivotArea dataOnly="0" labelOnly="1" fieldPosition="0">
        <references count="1">
          <reference field="10" count="0"/>
        </references>
      </pivotArea>
    </format>
    <format dxfId="498">
      <pivotArea dataOnly="0" labelOnly="1" fieldPosition="0">
        <references count="1">
          <reference field="10" count="0"/>
        </references>
      </pivotArea>
    </format>
    <format dxfId="497">
      <pivotArea field="4" type="button" dataOnly="0" labelOnly="1" outline="0" axis="axisPage" fieldPosition="0"/>
    </format>
    <format dxfId="496">
      <pivotArea dataOnly="0" outline="0" fieldPosition="0">
        <references count="1">
          <reference field="10" count="0"/>
        </references>
      </pivotArea>
    </format>
    <format dxfId="495">
      <pivotArea field="4" type="button" dataOnly="0" labelOnly="1" outline="0" axis="axisPage" fieldPosition="0"/>
    </format>
    <format dxfId="427">
      <pivotArea type="all" dataOnly="0" outline="0" fieldPosition="0"/>
    </format>
    <format dxfId="426">
      <pivotArea outline="0" collapsedLevelsAreSubtotals="1" fieldPosition="0"/>
    </format>
    <format dxfId="425">
      <pivotArea type="origin" dataOnly="0" labelOnly="1" outline="0" fieldPosition="0"/>
    </format>
    <format dxfId="424">
      <pivotArea field="10" type="button" dataOnly="0" labelOnly="1" outline="0" axis="axisCol" fieldPosition="0"/>
    </format>
    <format dxfId="423">
      <pivotArea type="topRight" dataOnly="0" labelOnly="1" outline="0" fieldPosition="0"/>
    </format>
    <format dxfId="422">
      <pivotArea field="7" type="button" dataOnly="0" labelOnly="1" outline="0" axis="axisRow" fieldPosition="0"/>
    </format>
    <format dxfId="421">
      <pivotArea dataOnly="0" labelOnly="1" fieldPosition="0">
        <references count="1">
          <reference field="7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20">
      <pivotArea dataOnly="0" labelOnly="1" grandRow="1" outline="0" fieldPosition="0"/>
    </format>
    <format dxfId="419">
      <pivotArea dataOnly="0" labelOnly="1" fieldPosition="0">
        <references count="1">
          <reference field="10" count="0"/>
        </references>
      </pivotArea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9ACF6E-F1EF-4938-9364-4BF51E002041}" name="PivotTable2" cacheId="27" applyNumberFormats="0" applyBorderFormats="0" applyFontFormats="0" applyPatternFormats="0" applyAlignmentFormats="0" applyWidthHeightFormats="1" dataCaption="Werte" grandTotalCaption="Summe EUR/Gebinde" updatedVersion="8" minRefreshableVersion="3" useAutoFormatting="1" colGrandTotals="0" itemPrintTitles="1" createdVersion="8" indent="0" outline="1" outlineData="1" multipleFieldFilters="0" chartFormat="1" rowHeaderCaption="Kostenart" colHeaderCaption="Größe">
  <location ref="A5:E21" firstHeaderRow="1" firstDataRow="2" firstDataCol="1" rowPageCount="1" colPageCount="1"/>
  <pivotFields count="23"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showAll="0"/>
    <pivotField showAll="0"/>
    <pivotField axis="axisRow" showAll="0" sortType="descending">
      <items count="15">
        <item x="1"/>
        <item x="2"/>
        <item x="7"/>
        <item x="10"/>
        <item x="8"/>
        <item x="6"/>
        <item x="3"/>
        <item x="0"/>
        <item x="5"/>
        <item x="4"/>
        <item x="11"/>
        <item x="13"/>
        <item x="9"/>
        <item x="1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  <pivotField numFmtId="4" showAll="0"/>
  </pivotFields>
  <rowFields count="1">
    <field x="7"/>
  </rowFields>
  <rowItems count="15">
    <i>
      <x v="7"/>
    </i>
    <i>
      <x v="8"/>
    </i>
    <i>
      <x v="13"/>
    </i>
    <i>
      <x v="1"/>
    </i>
    <i>
      <x v="11"/>
    </i>
    <i>
      <x/>
    </i>
    <i>
      <x v="9"/>
    </i>
    <i>
      <x v="5"/>
    </i>
    <i>
      <x v="4"/>
    </i>
    <i>
      <x v="2"/>
    </i>
    <i>
      <x v="12"/>
    </i>
    <i>
      <x v="10"/>
    </i>
    <i>
      <x v="6"/>
    </i>
    <i>
      <x v="3"/>
    </i>
    <i t="grand">
      <x/>
    </i>
  </rowItems>
  <colFields count="1">
    <field x="10"/>
  </colFields>
  <colItems count="4">
    <i>
      <x/>
    </i>
    <i>
      <x v="1"/>
    </i>
    <i>
      <x v="2"/>
    </i>
    <i>
      <x v="3"/>
    </i>
  </colItems>
  <pageFields count="1">
    <pageField fld="3" hier="-1"/>
  </pageFields>
  <dataFields count="1">
    <dataField name="Kosten" fld="21" baseField="0" baseItem="0" numFmtId="43"/>
  </dataFields>
  <formats count="17">
    <format dxfId="509">
      <pivotArea outline="0" collapsedLevelsAreSubtotals="1" fieldPosition="0"/>
    </format>
    <format dxfId="508">
      <pivotArea dataOnly="0" labelOnly="1" fieldPosition="0">
        <references count="1">
          <reference field="10" count="0"/>
        </references>
      </pivotArea>
    </format>
    <format dxfId="507">
      <pivotArea dataOnly="0" labelOnly="1" fieldPosition="0">
        <references count="1">
          <reference field="10" count="0"/>
        </references>
      </pivotArea>
    </format>
    <format dxfId="506">
      <pivotArea dataOnly="0" labelOnly="1" fieldPosition="0">
        <references count="1">
          <reference field="10" count="0"/>
        </references>
      </pivotArea>
    </format>
    <format dxfId="505">
      <pivotArea field="3" type="button" dataOnly="0" labelOnly="1" outline="0" axis="axisPage" fieldPosition="0"/>
    </format>
    <format dxfId="504">
      <pivotArea outline="0" collapsedLevelsAreSubtotals="1" fieldPosition="0"/>
    </format>
    <format dxfId="503">
      <pivotArea dataOnly="0" labelOnly="1" fieldPosition="0">
        <references count="1">
          <reference field="10" count="0"/>
        </references>
      </pivotArea>
    </format>
    <format dxfId="502">
      <pivotArea field="3" type="button" dataOnly="0" labelOnly="1" outline="0" axis="axisPage" fieldPosition="0"/>
    </format>
    <format dxfId="418">
      <pivotArea type="all" dataOnly="0" outline="0" fieldPosition="0"/>
    </format>
    <format dxfId="417">
      <pivotArea outline="0" collapsedLevelsAreSubtotals="1" fieldPosition="0"/>
    </format>
    <format dxfId="416">
      <pivotArea type="origin" dataOnly="0" labelOnly="1" outline="0" fieldPosition="0"/>
    </format>
    <format dxfId="415">
      <pivotArea field="10" type="button" dataOnly="0" labelOnly="1" outline="0" axis="axisCol" fieldPosition="0"/>
    </format>
    <format dxfId="414">
      <pivotArea type="topRight" dataOnly="0" labelOnly="1" outline="0" fieldPosition="0"/>
    </format>
    <format dxfId="413">
      <pivotArea field="7" type="button" dataOnly="0" labelOnly="1" outline="0" axis="axisRow" fieldPosition="0"/>
    </format>
    <format dxfId="412">
      <pivotArea dataOnly="0" labelOnly="1" fieldPosition="0">
        <references count="1">
          <reference field="7" count="0"/>
        </references>
      </pivotArea>
    </format>
    <format dxfId="411">
      <pivotArea dataOnly="0" labelOnly="1" grandRow="1" outline="0" fieldPosition="0"/>
    </format>
    <format dxfId="410">
      <pivotArea dataOnly="0" labelOnly="1" fieldPosition="0">
        <references count="1">
          <reference field="1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F84247-3AFA-4C15-87FD-CD2B1880962F}" name="PivotTable2" cacheId="27" applyNumberFormats="0" applyBorderFormats="0" applyFontFormats="0" applyPatternFormats="0" applyAlignmentFormats="0" applyWidthHeightFormats="1" dataCaption="Werte" grandTotalCaption="Summe EUR/Gebinde" updatedVersion="8" minRefreshableVersion="3" useAutoFormatting="1" colGrandTotals="0" itemPrintTitles="1" createdVersion="8" indent="0" outline="1" outlineData="1" multipleFieldFilters="0" chartFormat="1" rowHeaderCaption="Prozess" colHeaderCaption="Größe">
  <location ref="A5:E16" firstHeaderRow="1" firstDataRow="2" firstDataCol="1" rowPageCount="1" colPageCount="1"/>
  <pivotFields count="23">
    <pivotField showAll="0"/>
    <pivotField showAll="0"/>
    <pivotField axis="axisRow" showAll="0" sortType="descending">
      <items count="10">
        <item x="5"/>
        <item x="1"/>
        <item x="6"/>
        <item x="3"/>
        <item x="4"/>
        <item x="8"/>
        <item x="7"/>
        <item x="0"/>
        <item x="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axis="axisPage" multipleItemSelectionAllowed="1" showAll="0">
      <items count="3">
        <item x="0"/>
        <item h="1" x="1"/>
        <item t="default"/>
      </items>
    </pivotField>
    <pivotField showAll="0"/>
    <pivotField showAll="0"/>
    <pivotField showAll="0"/>
    <pivotField showAll="0" sortType="descending"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  <pivotField numFmtId="4" showAll="0"/>
  </pivotFields>
  <rowFields count="1">
    <field x="2"/>
  </rowFields>
  <rowItems count="10">
    <i>
      <x v="7"/>
    </i>
    <i>
      <x v="4"/>
    </i>
    <i>
      <x v="6"/>
    </i>
    <i>
      <x v="5"/>
    </i>
    <i>
      <x v="3"/>
    </i>
    <i>
      <x v="8"/>
    </i>
    <i>
      <x v="2"/>
    </i>
    <i>
      <x v="1"/>
    </i>
    <i>
      <x/>
    </i>
    <i t="grand">
      <x/>
    </i>
  </rowItems>
  <colFields count="1">
    <field x="10"/>
  </colFields>
  <colItems count="4">
    <i>
      <x/>
    </i>
    <i>
      <x v="1"/>
    </i>
    <i>
      <x v="2"/>
    </i>
    <i>
      <x v="3"/>
    </i>
  </colItems>
  <pageFields count="1">
    <pageField fld="3" hier="-1"/>
  </pageFields>
  <dataFields count="1">
    <dataField name="Kosten" fld="21" baseField="0" baseItem="0" numFmtId="43"/>
  </dataFields>
  <formats count="17">
    <format dxfId="471">
      <pivotArea outline="0" collapsedLevelsAreSubtotals="1" fieldPosition="0"/>
    </format>
    <format dxfId="470">
      <pivotArea dataOnly="0" labelOnly="1" fieldPosition="0">
        <references count="1">
          <reference field="10" count="0"/>
        </references>
      </pivotArea>
    </format>
    <format dxfId="469">
      <pivotArea dataOnly="0" labelOnly="1" fieldPosition="0">
        <references count="1">
          <reference field="10" count="0"/>
        </references>
      </pivotArea>
    </format>
    <format dxfId="468">
      <pivotArea dataOnly="0" labelOnly="1" fieldPosition="0">
        <references count="1">
          <reference field="10" count="0"/>
        </references>
      </pivotArea>
    </format>
    <format dxfId="467">
      <pivotArea field="3" type="button" dataOnly="0" labelOnly="1" outline="0" axis="axisPage" fieldPosition="0"/>
    </format>
    <format dxfId="466">
      <pivotArea outline="0" collapsedLevelsAreSubtotals="1" fieldPosition="0"/>
    </format>
    <format dxfId="465">
      <pivotArea dataOnly="0" labelOnly="1" fieldPosition="0">
        <references count="1">
          <reference field="10" count="0"/>
        </references>
      </pivotArea>
    </format>
    <format dxfId="464">
      <pivotArea field="3" type="button" dataOnly="0" labelOnly="1" outline="0" axis="axisPage" fieldPosition="0"/>
    </format>
    <format dxfId="409">
      <pivotArea type="all" dataOnly="0" outline="0" fieldPosition="0"/>
    </format>
    <format dxfId="408">
      <pivotArea outline="0" collapsedLevelsAreSubtotals="1" fieldPosition="0"/>
    </format>
    <format dxfId="407">
      <pivotArea type="origin" dataOnly="0" labelOnly="1" outline="0" fieldPosition="0"/>
    </format>
    <format dxfId="406">
      <pivotArea field="10" type="button" dataOnly="0" labelOnly="1" outline="0" axis="axisCol" fieldPosition="0"/>
    </format>
    <format dxfId="405">
      <pivotArea type="topRight" dataOnly="0" labelOnly="1" outline="0" fieldPosition="0"/>
    </format>
    <format dxfId="404">
      <pivotArea field="2" type="button" dataOnly="0" labelOnly="1" outline="0" axis="axisRow" fieldPosition="0"/>
    </format>
    <format dxfId="403">
      <pivotArea dataOnly="0" labelOnly="1" fieldPosition="0">
        <references count="1">
          <reference field="2" count="0"/>
        </references>
      </pivotArea>
    </format>
    <format dxfId="402">
      <pivotArea dataOnly="0" labelOnly="1" grandRow="1" outline="0" fieldPosition="0"/>
    </format>
    <format dxfId="401">
      <pivotArea dataOnly="0" labelOnly="1" fieldPosition="0">
        <references count="1">
          <reference field="1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7228F7-ED70-445C-8C8D-22E124B8A671}" name="PivotTable4" cacheId="27" applyNumberFormats="0" applyBorderFormats="0" applyFontFormats="0" applyPatternFormats="0" applyAlignmentFormats="0" applyWidthHeightFormats="1" dataCaption="Werte" grandTotalCaption="Summe EUR/Gebinde" updatedVersion="8" minRefreshableVersion="3" useAutoFormatting="1" colGrandTotals="0" itemPrintTitles="1" createdVersion="8" indent="0" outline="1" outlineData="1" multipleFieldFilters="0" chartFormat="1" rowHeaderCaption="Prozess" colHeaderCaption="Größe">
  <location ref="G5:K15" firstHeaderRow="1" firstDataRow="2" firstDataCol="1" rowPageCount="1" colPageCount="1"/>
  <pivotFields count="23">
    <pivotField showAll="0"/>
    <pivotField showAll="0"/>
    <pivotField axis="axisRow" showAll="0" sortType="descending">
      <items count="10">
        <item x="5"/>
        <item x="1"/>
        <item x="6"/>
        <item x="3"/>
        <item x="4"/>
        <item x="8"/>
        <item x="7"/>
        <item x="0"/>
        <item x="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2"/>
            </reference>
          </references>
        </pivotArea>
      </autoSortScope>
    </pivotField>
    <pivotField multipleItemSelectionAllowed="1" showAll="0"/>
    <pivotField axis="axisPage" multipleItemSelectionAllowed="1" showAll="0">
      <items count="3">
        <item x="0"/>
        <item h="1" x="1"/>
        <item t="default"/>
      </items>
    </pivotField>
    <pivotField showAll="0"/>
    <pivotField showAll="0"/>
    <pivotField showAll="0" sortType="descending"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  <pivotField numFmtId="4" showAll="0"/>
  </pivotFields>
  <rowFields count="1">
    <field x="2"/>
  </rowFields>
  <rowItems count="9">
    <i>
      <x v="7"/>
    </i>
    <i>
      <x v="4"/>
    </i>
    <i>
      <x v="3"/>
    </i>
    <i>
      <x v="5"/>
    </i>
    <i>
      <x v="8"/>
    </i>
    <i>
      <x v="2"/>
    </i>
    <i>
      <x v="1"/>
    </i>
    <i>
      <x/>
    </i>
    <i t="grand">
      <x/>
    </i>
  </rowItems>
  <colFields count="1">
    <field x="10"/>
  </colFields>
  <colItems count="4">
    <i>
      <x/>
    </i>
    <i>
      <x v="1"/>
    </i>
    <i>
      <x v="2"/>
    </i>
    <i>
      <x v="3"/>
    </i>
  </colItems>
  <pageFields count="1">
    <pageField fld="4" hier="-1"/>
  </pageFields>
  <dataFields count="1">
    <dataField name="Kosten" fld="21" baseField="0" baseItem="0" numFmtId="43"/>
  </dataFields>
  <formats count="16">
    <format dxfId="478">
      <pivotArea outline="0" collapsedLevelsAreSubtotals="1" fieldPosition="0"/>
    </format>
    <format dxfId="477">
      <pivotArea dataOnly="0" labelOnly="1" fieldPosition="0">
        <references count="1">
          <reference field="10" count="0"/>
        </references>
      </pivotArea>
    </format>
    <format dxfId="476">
      <pivotArea dataOnly="0" labelOnly="1" fieldPosition="0">
        <references count="1">
          <reference field="10" count="0"/>
        </references>
      </pivotArea>
    </format>
    <format dxfId="475">
      <pivotArea dataOnly="0" labelOnly="1" fieldPosition="0">
        <references count="1">
          <reference field="10" count="0"/>
        </references>
      </pivotArea>
    </format>
    <format dxfId="474">
      <pivotArea field="4" type="button" dataOnly="0" labelOnly="1" outline="0" axis="axisPage" fieldPosition="0"/>
    </format>
    <format dxfId="473">
      <pivotArea dataOnly="0" outline="0" fieldPosition="0">
        <references count="1">
          <reference field="10" count="0"/>
        </references>
      </pivotArea>
    </format>
    <format dxfId="472">
      <pivotArea field="4" type="button" dataOnly="0" labelOnly="1" outline="0" axis="axisPage" fieldPosition="0"/>
    </format>
    <format dxfId="400">
      <pivotArea type="all" dataOnly="0" outline="0" fieldPosition="0"/>
    </format>
    <format dxfId="399">
      <pivotArea outline="0" collapsedLevelsAreSubtotals="1" fieldPosition="0"/>
    </format>
    <format dxfId="398">
      <pivotArea type="origin" dataOnly="0" labelOnly="1" outline="0" fieldPosition="0"/>
    </format>
    <format dxfId="397">
      <pivotArea field="10" type="button" dataOnly="0" labelOnly="1" outline="0" axis="axisCol" fieldPosition="0"/>
    </format>
    <format dxfId="396">
      <pivotArea type="topRight" dataOnly="0" labelOnly="1" outline="0" fieldPosition="0"/>
    </format>
    <format dxfId="395">
      <pivotArea field="2" type="button" dataOnly="0" labelOnly="1" outline="0" axis="axisRow" fieldPosition="0"/>
    </format>
    <format dxfId="394">
      <pivotArea dataOnly="0" labelOnly="1" fieldPosition="0">
        <references count="1">
          <reference field="2" count="8">
            <x v="0"/>
            <x v="1"/>
            <x v="2"/>
            <x v="3"/>
            <x v="4"/>
            <x v="5"/>
            <x v="7"/>
            <x v="8"/>
          </reference>
        </references>
      </pivotArea>
    </format>
    <format dxfId="393">
      <pivotArea dataOnly="0" labelOnly="1" grandRow="1" outline="0" fieldPosition="0"/>
    </format>
    <format dxfId="392">
      <pivotArea dataOnly="0" labelOnly="1" fieldPosition="0">
        <references count="1">
          <reference field="10" count="0"/>
        </references>
      </pivotArea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9A9386-6A5E-402F-BE8C-EDE47372DAE9}" name="PivotTable5" cacheId="27" applyNumberFormats="0" applyBorderFormats="0" applyFontFormats="0" applyPatternFormats="0" applyAlignmentFormats="0" applyWidthHeightFormats="1" dataCaption="Werte" grandTotalCaption="Summe EUR/Gebinde" updatedVersion="8" minRefreshableVersion="3" useAutoFormatting="1" colGrandTotals="0" itemPrintTitles="1" createdVersion="8" indent="0" outline="1" outlineData="1" multipleFieldFilters="0" chartFormat="1" rowHeaderCaption="Prozess" colHeaderCaption="Größe">
  <location ref="M5:Q14" firstHeaderRow="1" firstDataRow="2" firstDataCol="1" rowPageCount="1" colPageCount="1"/>
  <pivotFields count="23">
    <pivotField showAll="0"/>
    <pivotField showAll="0"/>
    <pivotField axis="axisRow" showAll="0" sortType="descending">
      <items count="10">
        <item x="5"/>
        <item x="1"/>
        <item x="6"/>
        <item x="3"/>
        <item x="4"/>
        <item x="8"/>
        <item x="7"/>
        <item x="0"/>
        <item x="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multipleItemSelectionAllowed="1" showAll="0"/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showAll="0" sortType="descending"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  <pivotField numFmtId="4" showAll="0"/>
  </pivotFields>
  <rowFields count="1">
    <field x="2"/>
  </rowFields>
  <rowItems count="8">
    <i>
      <x v="7"/>
    </i>
    <i>
      <x v="3"/>
    </i>
    <i>
      <x v="5"/>
    </i>
    <i>
      <x v="8"/>
    </i>
    <i>
      <x v="2"/>
    </i>
    <i>
      <x v="1"/>
    </i>
    <i>
      <x/>
    </i>
    <i t="grand">
      <x/>
    </i>
  </rowItems>
  <colFields count="1">
    <field x="10"/>
  </colFields>
  <colItems count="4">
    <i>
      <x/>
    </i>
    <i>
      <x v="1"/>
    </i>
    <i>
      <x v="2"/>
    </i>
    <i>
      <x v="3"/>
    </i>
  </colItems>
  <pageFields count="1">
    <pageField fld="5" hier="-1"/>
  </pageFields>
  <dataFields count="1">
    <dataField name="Kosten" fld="21" baseField="0" baseItem="0" numFmtId="43"/>
  </dataFields>
  <formats count="17">
    <format dxfId="486">
      <pivotArea outline="0" collapsedLevelsAreSubtotals="1" fieldPosition="0"/>
    </format>
    <format dxfId="485">
      <pivotArea dataOnly="0" labelOnly="1" fieldPosition="0">
        <references count="1">
          <reference field="10" count="0"/>
        </references>
      </pivotArea>
    </format>
    <format dxfId="484">
      <pivotArea dataOnly="0" labelOnly="1" fieldPosition="0">
        <references count="1">
          <reference field="10" count="0"/>
        </references>
      </pivotArea>
    </format>
    <format dxfId="483">
      <pivotArea dataOnly="0" labelOnly="1" fieldPosition="0">
        <references count="1">
          <reference field="10" count="0"/>
        </references>
      </pivotArea>
    </format>
    <format dxfId="482">
      <pivotArea field="5" type="button" dataOnly="0" labelOnly="1" outline="0" axis="axisPage" fieldPosition="0"/>
    </format>
    <format dxfId="481">
      <pivotArea outline="0" collapsedLevelsAreSubtotals="1" fieldPosition="0"/>
    </format>
    <format dxfId="480">
      <pivotArea dataOnly="0" labelOnly="1" fieldPosition="0">
        <references count="1">
          <reference field="10" count="0"/>
        </references>
      </pivotArea>
    </format>
    <format dxfId="479">
      <pivotArea field="5" type="button" dataOnly="0" labelOnly="1" outline="0" axis="axisPage" fieldPosition="0"/>
    </format>
    <format dxfId="391">
      <pivotArea type="all" dataOnly="0" outline="0" fieldPosition="0"/>
    </format>
    <format dxfId="390">
      <pivotArea outline="0" collapsedLevelsAreSubtotals="1" fieldPosition="0"/>
    </format>
    <format dxfId="389">
      <pivotArea type="origin" dataOnly="0" labelOnly="1" outline="0" fieldPosition="0"/>
    </format>
    <format dxfId="388">
      <pivotArea field="10" type="button" dataOnly="0" labelOnly="1" outline="0" axis="axisCol" fieldPosition="0"/>
    </format>
    <format dxfId="387">
      <pivotArea type="topRight" dataOnly="0" labelOnly="1" outline="0" fieldPosition="0"/>
    </format>
    <format dxfId="386">
      <pivotArea field="2" type="button" dataOnly="0" labelOnly="1" outline="0" axis="axisRow" fieldPosition="0"/>
    </format>
    <format dxfId="385">
      <pivotArea dataOnly="0" labelOnly="1" fieldPosition="0">
        <references count="1">
          <reference field="2" count="7">
            <x v="0"/>
            <x v="1"/>
            <x v="2"/>
            <x v="3"/>
            <x v="5"/>
            <x v="7"/>
            <x v="8"/>
          </reference>
        </references>
      </pivotArea>
    </format>
    <format dxfId="384">
      <pivotArea dataOnly="0" labelOnly="1" grandRow="1" outline="0" fieldPosition="0"/>
    </format>
    <format dxfId="383">
      <pivotArea dataOnly="0" labelOnly="1" fieldPosition="0">
        <references count="1">
          <reference field="10" count="0"/>
        </references>
      </pivotArea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58E945-E753-4FF9-AB78-73E7D7475F2B}" name="PivotTable5" cacheId="27" applyNumberFormats="0" applyBorderFormats="0" applyFontFormats="0" applyPatternFormats="0" applyAlignmentFormats="0" applyWidthHeightFormats="1" dataCaption="Werte" grandTotalCaption="Summe EUR/Gebinde" updatedVersion="8" minRefreshableVersion="3" useAutoFormatting="1" colGrandTotals="0" itemPrintTitles="1" createdVersion="8" indent="0" outline="1" outlineData="1" multipleFieldFilters="0" chartFormat="1" rowHeaderCaption="Kostenart" colHeaderCaption="Größe">
  <location ref="M5:Q24" firstHeaderRow="1" firstDataRow="2" firstDataCol="1" rowPageCount="1" colPageCount="1"/>
  <pivotFields count="23">
    <pivotField showAll="0"/>
    <pivotField showAll="0"/>
    <pivotField showAll="0" sortType="descending"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multipleItemSelectionAllowed="1" showAll="0"/>
    <pivotField showAll="0"/>
    <pivotField axis="axisPage" multipleItemSelectionAllowed="1" showAll="0">
      <items count="3">
        <item x="0"/>
        <item h="1" x="1"/>
        <item t="default"/>
      </items>
    </pivotField>
    <pivotField axis="axisRow" showAll="0">
      <items count="3">
        <item n="keine Auszahlung / kalkulatorisch" x="1"/>
        <item n="Auszahlung jährlich" x="0"/>
        <item t="default"/>
      </items>
    </pivotField>
    <pivotField axis="axisRow" showAll="0" sortType="descending">
      <items count="15">
        <item x="1"/>
        <item x="2"/>
        <item x="7"/>
        <item x="10"/>
        <item x="8"/>
        <item x="6"/>
        <item x="3"/>
        <item x="0"/>
        <item x="5"/>
        <item x="4"/>
        <item x="11"/>
        <item x="13"/>
        <item x="9"/>
        <item x="1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  <pivotField numFmtId="4" showAll="0"/>
  </pivotFields>
  <rowFields count="2">
    <field x="6"/>
    <field x="7"/>
  </rowFields>
  <rowItems count="18">
    <i>
      <x/>
    </i>
    <i r="1">
      <x v="1"/>
    </i>
    <i r="1">
      <x v="8"/>
    </i>
    <i r="1">
      <x/>
    </i>
    <i r="1">
      <x v="11"/>
    </i>
    <i r="1">
      <x v="9"/>
    </i>
    <i r="1">
      <x v="5"/>
    </i>
    <i r="1">
      <x v="6"/>
    </i>
    <i r="1">
      <x v="7"/>
    </i>
    <i>
      <x v="1"/>
    </i>
    <i r="1">
      <x v="7"/>
    </i>
    <i r="1">
      <x v="4"/>
    </i>
    <i r="1">
      <x v="2"/>
    </i>
    <i r="1">
      <x v="12"/>
    </i>
    <i r="1">
      <x v="9"/>
    </i>
    <i r="1">
      <x v="10"/>
    </i>
    <i r="1">
      <x v="3"/>
    </i>
    <i t="grand">
      <x/>
    </i>
  </rowItems>
  <colFields count="1">
    <field x="10"/>
  </colFields>
  <colItems count="4">
    <i>
      <x/>
    </i>
    <i>
      <x v="1"/>
    </i>
    <i>
      <x v="2"/>
    </i>
    <i>
      <x v="3"/>
    </i>
  </colItems>
  <pageFields count="1">
    <pageField fld="5" hier="-1"/>
  </pageFields>
  <dataFields count="1">
    <dataField name="Kosten" fld="21" baseField="0" baseItem="0" numFmtId="43"/>
  </dataFields>
  <formats count="19">
    <format dxfId="449">
      <pivotArea outline="0" collapsedLevelsAreSubtotals="1" fieldPosition="0"/>
    </format>
    <format dxfId="448">
      <pivotArea dataOnly="0" labelOnly="1" fieldPosition="0">
        <references count="1">
          <reference field="10" count="0"/>
        </references>
      </pivotArea>
    </format>
    <format dxfId="447">
      <pivotArea dataOnly="0" labelOnly="1" fieldPosition="0">
        <references count="1">
          <reference field="10" count="0"/>
        </references>
      </pivotArea>
    </format>
    <format dxfId="446">
      <pivotArea dataOnly="0" labelOnly="1" fieldPosition="0">
        <references count="1">
          <reference field="10" count="0"/>
        </references>
      </pivotArea>
    </format>
    <format dxfId="445">
      <pivotArea field="5" type="button" dataOnly="0" labelOnly="1" outline="0" axis="axisPage" fieldPosition="0"/>
    </format>
    <format dxfId="444">
      <pivotArea outline="0" collapsedLevelsAreSubtotals="1" fieldPosition="0"/>
    </format>
    <format dxfId="443">
      <pivotArea dataOnly="0" labelOnly="1" fieldPosition="0">
        <references count="1">
          <reference field="10" count="0"/>
        </references>
      </pivotArea>
    </format>
    <format dxfId="442">
      <pivotArea field="5" type="button" dataOnly="0" labelOnly="1" outline="0" axis="axisPage" fieldPosition="0"/>
    </format>
    <format dxfId="382">
      <pivotArea type="all" dataOnly="0" outline="0" fieldPosition="0"/>
    </format>
    <format dxfId="381">
      <pivotArea outline="0" collapsedLevelsAreSubtotals="1" fieldPosition="0"/>
    </format>
    <format dxfId="380">
      <pivotArea type="origin" dataOnly="0" labelOnly="1" outline="0" fieldPosition="0"/>
    </format>
    <format dxfId="379">
      <pivotArea field="10" type="button" dataOnly="0" labelOnly="1" outline="0" axis="axisCol" fieldPosition="0"/>
    </format>
    <format dxfId="378">
      <pivotArea type="topRight" dataOnly="0" labelOnly="1" outline="0" fieldPosition="0"/>
    </format>
    <format dxfId="377">
      <pivotArea field="6" type="button" dataOnly="0" labelOnly="1" outline="0" axis="axisRow" fieldPosition="0"/>
    </format>
    <format dxfId="376">
      <pivotArea dataOnly="0" labelOnly="1" fieldPosition="0">
        <references count="1">
          <reference field="6" count="0"/>
        </references>
      </pivotArea>
    </format>
    <format dxfId="375">
      <pivotArea dataOnly="0" labelOnly="1" grandRow="1" outline="0" fieldPosition="0"/>
    </format>
    <format dxfId="374">
      <pivotArea dataOnly="0" labelOnly="1" fieldPosition="0">
        <references count="2">
          <reference field="6" count="1" selected="0">
            <x v="0"/>
          </reference>
          <reference field="7" count="8">
            <x v="0"/>
            <x v="1"/>
            <x v="5"/>
            <x v="6"/>
            <x v="7"/>
            <x v="8"/>
            <x v="9"/>
            <x v="11"/>
          </reference>
        </references>
      </pivotArea>
    </format>
    <format dxfId="373">
      <pivotArea dataOnly="0" labelOnly="1" fieldPosition="0">
        <references count="2">
          <reference field="6" count="1" selected="0">
            <x v="1"/>
          </reference>
          <reference field="7" count="7">
            <x v="2"/>
            <x v="3"/>
            <x v="4"/>
            <x v="7"/>
            <x v="9"/>
            <x v="10"/>
            <x v="12"/>
          </reference>
        </references>
      </pivotArea>
    </format>
    <format dxfId="372">
      <pivotArea dataOnly="0" labelOnly="1" fieldPosition="0">
        <references count="1">
          <reference field="10" count="0"/>
        </references>
      </pivotArea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233D60-84AC-42B2-97A6-13BAA6EE5DD1}" name="PivotTable4" cacheId="27" applyNumberFormats="0" applyBorderFormats="0" applyFontFormats="0" applyPatternFormats="0" applyAlignmentFormats="0" applyWidthHeightFormats="1" dataCaption="Werte" grandTotalCaption="Summe EUR/Gebinde" updatedVersion="8" minRefreshableVersion="3" useAutoFormatting="1" colGrandTotals="0" itemPrintTitles="1" createdVersion="8" indent="0" outline="1" outlineData="1" multipleFieldFilters="0" chartFormat="1" rowHeaderCaption="Kostenart" colHeaderCaption="Größe">
  <location ref="G5:K24" firstHeaderRow="1" firstDataRow="2" firstDataCol="1" rowPageCount="1" colPageCount="1"/>
  <pivotFields count="23">
    <pivotField showAll="0"/>
    <pivotField showAll="0"/>
    <pivotField showAll="0" sortType="descending"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multipleItemSelectionAllowed="1" showAll="0"/>
    <pivotField axis="axisPage" multipleItemSelectionAllowed="1" showAll="0">
      <items count="3">
        <item x="0"/>
        <item h="1" x="1"/>
        <item t="default"/>
      </items>
    </pivotField>
    <pivotField showAll="0"/>
    <pivotField axis="axisRow" showAll="0">
      <items count="3">
        <item n="keine Auszahlung / kalkulatorisch" x="1"/>
        <item n="Auszahlung jährlich" x="0"/>
        <item t="default"/>
      </items>
    </pivotField>
    <pivotField axis="axisRow" showAll="0" sortType="descending">
      <items count="15">
        <item x="1"/>
        <item x="2"/>
        <item x="7"/>
        <item x="10"/>
        <item x="8"/>
        <item x="6"/>
        <item x="3"/>
        <item x="0"/>
        <item x="5"/>
        <item x="4"/>
        <item x="11"/>
        <item x="13"/>
        <item x="9"/>
        <item x="1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  <pivotField numFmtId="4" showAll="0"/>
  </pivotFields>
  <rowFields count="2">
    <field x="6"/>
    <field x="7"/>
  </rowFields>
  <rowItems count="18">
    <i>
      <x/>
    </i>
    <i r="1">
      <x v="8"/>
    </i>
    <i r="1">
      <x v="1"/>
    </i>
    <i r="1">
      <x/>
    </i>
    <i r="1">
      <x v="11"/>
    </i>
    <i r="1">
      <x v="9"/>
    </i>
    <i r="1">
      <x v="5"/>
    </i>
    <i r="1">
      <x v="6"/>
    </i>
    <i r="1">
      <x v="7"/>
    </i>
    <i>
      <x v="1"/>
    </i>
    <i r="1">
      <x v="7"/>
    </i>
    <i r="1">
      <x v="4"/>
    </i>
    <i r="1">
      <x v="2"/>
    </i>
    <i r="1">
      <x v="12"/>
    </i>
    <i r="1">
      <x v="9"/>
    </i>
    <i r="1">
      <x v="10"/>
    </i>
    <i r="1">
      <x v="3"/>
    </i>
    <i t="grand">
      <x/>
    </i>
  </rowItems>
  <colFields count="1">
    <field x="10"/>
  </colFields>
  <colItems count="4">
    <i>
      <x/>
    </i>
    <i>
      <x v="1"/>
    </i>
    <i>
      <x v="2"/>
    </i>
    <i>
      <x v="3"/>
    </i>
  </colItems>
  <pageFields count="1">
    <pageField fld="4" hier="-1"/>
  </pageFields>
  <dataFields count="1">
    <dataField name="Kosten" fld="21" baseField="0" baseItem="0" numFmtId="43"/>
  </dataFields>
  <formats count="18">
    <format dxfId="456">
      <pivotArea outline="0" collapsedLevelsAreSubtotals="1" fieldPosition="0"/>
    </format>
    <format dxfId="455">
      <pivotArea dataOnly="0" labelOnly="1" fieldPosition="0">
        <references count="1">
          <reference field="10" count="0"/>
        </references>
      </pivotArea>
    </format>
    <format dxfId="454">
      <pivotArea dataOnly="0" labelOnly="1" fieldPosition="0">
        <references count="1">
          <reference field="10" count="0"/>
        </references>
      </pivotArea>
    </format>
    <format dxfId="453">
      <pivotArea dataOnly="0" labelOnly="1" fieldPosition="0">
        <references count="1">
          <reference field="10" count="0"/>
        </references>
      </pivotArea>
    </format>
    <format dxfId="452">
      <pivotArea field="4" type="button" dataOnly="0" labelOnly="1" outline="0" axis="axisPage" fieldPosition="0"/>
    </format>
    <format dxfId="451">
      <pivotArea dataOnly="0" outline="0" fieldPosition="0">
        <references count="1">
          <reference field="10" count="0"/>
        </references>
      </pivotArea>
    </format>
    <format dxfId="450">
      <pivotArea field="4" type="button" dataOnly="0" labelOnly="1" outline="0" axis="axisPage" fieldPosition="0"/>
    </format>
    <format dxfId="371">
      <pivotArea type="all" dataOnly="0" outline="0" fieldPosition="0"/>
    </format>
    <format dxfId="370">
      <pivotArea outline="0" collapsedLevelsAreSubtotals="1" fieldPosition="0"/>
    </format>
    <format dxfId="369">
      <pivotArea type="origin" dataOnly="0" labelOnly="1" outline="0" fieldPosition="0"/>
    </format>
    <format dxfId="368">
      <pivotArea field="10" type="button" dataOnly="0" labelOnly="1" outline="0" axis="axisCol" fieldPosition="0"/>
    </format>
    <format dxfId="367">
      <pivotArea type="topRight" dataOnly="0" labelOnly="1" outline="0" fieldPosition="0"/>
    </format>
    <format dxfId="366">
      <pivotArea field="6" type="button" dataOnly="0" labelOnly="1" outline="0" axis="axisRow" fieldPosition="0"/>
    </format>
    <format dxfId="365">
      <pivotArea dataOnly="0" labelOnly="1" fieldPosition="0">
        <references count="1">
          <reference field="6" count="0"/>
        </references>
      </pivotArea>
    </format>
    <format dxfId="364">
      <pivotArea dataOnly="0" labelOnly="1" grandRow="1" outline="0" fieldPosition="0"/>
    </format>
    <format dxfId="363">
      <pivotArea dataOnly="0" labelOnly="1" fieldPosition="0">
        <references count="2">
          <reference field="6" count="1" selected="0">
            <x v="0"/>
          </reference>
          <reference field="7" count="8">
            <x v="0"/>
            <x v="1"/>
            <x v="5"/>
            <x v="6"/>
            <x v="7"/>
            <x v="8"/>
            <x v="9"/>
            <x v="11"/>
          </reference>
        </references>
      </pivotArea>
    </format>
    <format dxfId="362">
      <pivotArea dataOnly="0" labelOnly="1" fieldPosition="0">
        <references count="2">
          <reference field="6" count="1" selected="0">
            <x v="1"/>
          </reference>
          <reference field="7" count="7">
            <x v="2"/>
            <x v="3"/>
            <x v="4"/>
            <x v="7"/>
            <x v="9"/>
            <x v="10"/>
            <x v="12"/>
          </reference>
        </references>
      </pivotArea>
    </format>
    <format dxfId="361">
      <pivotArea dataOnly="0" labelOnly="1" fieldPosition="0">
        <references count="1">
          <reference field="10" count="0"/>
        </references>
      </pivotArea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D958E7-8C0C-421D-BFBE-ABDEC3B2CAC9}" name="PivotTable2" cacheId="27" applyNumberFormats="0" applyBorderFormats="0" applyFontFormats="0" applyPatternFormats="0" applyAlignmentFormats="0" applyWidthHeightFormats="1" dataCaption="Werte" grandTotalCaption="Summe EUR/Gebinde" updatedVersion="8" minRefreshableVersion="3" useAutoFormatting="1" colGrandTotals="0" itemPrintTitles="1" createdVersion="8" indent="0" showHeaders="0" outline="1" outlineData="1" multipleFieldFilters="0" chartFormat="1" rowHeaderCaption="Kostenart" colHeaderCaption="Größe">
  <location ref="A5:E25" firstHeaderRow="1" firstDataRow="2" firstDataCol="1" rowPageCount="1" colPageCount="1"/>
  <pivotFields count="23">
    <pivotField showAll="0"/>
    <pivotField showAll="0"/>
    <pivotField showAll="0" sortType="descending"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axis="axisPage" multipleItemSelectionAllowed="1" showAll="0">
      <items count="3">
        <item x="0"/>
        <item h="1" x="1"/>
        <item t="default"/>
      </items>
    </pivotField>
    <pivotField showAll="0"/>
    <pivotField showAll="0"/>
    <pivotField axis="axisRow" showAll="0">
      <items count="3">
        <item n="keine Auszahlung / kalkulatorisch" x="1"/>
        <item n="Auszahlung jährlich" x="0"/>
        <item t="default"/>
      </items>
    </pivotField>
    <pivotField axis="axisRow" showAll="0" sortType="descending">
      <items count="15">
        <item x="1"/>
        <item x="2"/>
        <item x="7"/>
        <item x="10"/>
        <item x="8"/>
        <item x="6"/>
        <item x="3"/>
        <item x="0"/>
        <item x="5"/>
        <item x="4"/>
        <item x="11"/>
        <item x="13"/>
        <item x="9"/>
        <item x="1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0" count="1" selected="0">
              <x v="3"/>
            </reference>
          </references>
        </pivotArea>
      </autoSortScope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dataField="1" showAll="0"/>
    <pivotField numFmtId="4" showAll="0"/>
  </pivotFields>
  <rowFields count="2">
    <field x="6"/>
    <field x="7"/>
  </rowFields>
  <rowItems count="19">
    <i>
      <x/>
    </i>
    <i r="1">
      <x v="8"/>
    </i>
    <i r="1">
      <x v="13"/>
    </i>
    <i r="1">
      <x v="1"/>
    </i>
    <i r="1">
      <x v="11"/>
    </i>
    <i r="1">
      <x/>
    </i>
    <i r="1">
      <x v="9"/>
    </i>
    <i r="1">
      <x v="5"/>
    </i>
    <i r="1">
      <x v="6"/>
    </i>
    <i r="1">
      <x v="7"/>
    </i>
    <i>
      <x v="1"/>
    </i>
    <i r="1">
      <x v="7"/>
    </i>
    <i r="1">
      <x v="4"/>
    </i>
    <i r="1">
      <x v="2"/>
    </i>
    <i r="1">
      <x v="12"/>
    </i>
    <i r="1">
      <x v="9"/>
    </i>
    <i r="1">
      <x v="10"/>
    </i>
    <i r="1">
      <x v="3"/>
    </i>
    <i t="grand">
      <x/>
    </i>
  </rowItems>
  <colFields count="1">
    <field x="10"/>
  </colFields>
  <colItems count="4">
    <i>
      <x/>
    </i>
    <i>
      <x v="1"/>
    </i>
    <i>
      <x v="2"/>
    </i>
    <i>
      <x v="3"/>
    </i>
  </colItems>
  <pageFields count="1">
    <pageField fld="3" hier="-1"/>
  </pageFields>
  <dataFields count="1">
    <dataField name="Kosten" fld="21" baseField="0" baseItem="0" numFmtId="43"/>
  </dataFields>
  <formats count="16">
    <format dxfId="463">
      <pivotArea outline="0" collapsedLevelsAreSubtotals="1" fieldPosition="0"/>
    </format>
    <format dxfId="462">
      <pivotArea dataOnly="0" labelOnly="1" fieldPosition="0">
        <references count="1">
          <reference field="10" count="0"/>
        </references>
      </pivotArea>
    </format>
    <format dxfId="461">
      <pivotArea dataOnly="0" labelOnly="1" fieldPosition="0">
        <references count="1">
          <reference field="10" count="0"/>
        </references>
      </pivotArea>
    </format>
    <format dxfId="460">
      <pivotArea dataOnly="0" labelOnly="1" fieldPosition="0">
        <references count="1">
          <reference field="10" count="0"/>
        </references>
      </pivotArea>
    </format>
    <format dxfId="459">
      <pivotArea outline="0" collapsedLevelsAreSubtotals="1" fieldPosition="0"/>
    </format>
    <format dxfId="458">
      <pivotArea dataOnly="0" labelOnly="1" fieldPosition="0">
        <references count="1">
          <reference field="10" count="0"/>
        </references>
      </pivotArea>
    </format>
    <format dxfId="457">
      <pivotArea field="3" type="button" dataOnly="0" labelOnly="1" outline="0" axis="axisPage" fieldPosition="0"/>
    </format>
    <format dxfId="360">
      <pivotArea type="all" dataOnly="0" outline="0" fieldPosition="0"/>
    </format>
    <format dxfId="359">
      <pivotArea outline="0" collapsedLevelsAreSubtotals="1" fieldPosition="0"/>
    </format>
    <format dxfId="358">
      <pivotArea type="origin" dataOnly="0" labelOnly="1" outline="0" fieldPosition="0"/>
    </format>
    <format dxfId="357">
      <pivotArea type="topRight" dataOnly="0" labelOnly="1" outline="0" fieldPosition="0"/>
    </format>
    <format dxfId="356">
      <pivotArea dataOnly="0" labelOnly="1" fieldPosition="0">
        <references count="1">
          <reference field="6" count="0"/>
        </references>
      </pivotArea>
    </format>
    <format dxfId="355">
      <pivotArea dataOnly="0" labelOnly="1" grandRow="1" outline="0" fieldPosition="0"/>
    </format>
    <format dxfId="354">
      <pivotArea dataOnly="0" labelOnly="1" fieldPosition="0">
        <references count="2">
          <reference field="6" count="1" selected="0">
            <x v="0"/>
          </reference>
          <reference field="7" count="9">
            <x v="0"/>
            <x v="1"/>
            <x v="5"/>
            <x v="6"/>
            <x v="7"/>
            <x v="8"/>
            <x v="9"/>
            <x v="11"/>
            <x v="13"/>
          </reference>
        </references>
      </pivotArea>
    </format>
    <format dxfId="353">
      <pivotArea dataOnly="0" labelOnly="1" fieldPosition="0">
        <references count="2">
          <reference field="6" count="1" selected="0">
            <x v="1"/>
          </reference>
          <reference field="7" count="7">
            <x v="2"/>
            <x v="3"/>
            <x v="4"/>
            <x v="7"/>
            <x v="9"/>
            <x v="10"/>
            <x v="12"/>
          </reference>
        </references>
      </pivotArea>
    </format>
    <format dxfId="352">
      <pivotArea dataOnly="0" labelOnly="1" fieldPosition="0">
        <references count="1">
          <reference field="1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0" dT="2026-02-23T15:03:20.85" personId="{22BA440A-1DEB-4B5A-87EA-978C8B89E85E}" id="{E4B479DE-77B2-4EC4-83C8-87BEF2C6391C}">
    <text>Die Lohnnebenkosten beinhalten die Sozialbeiträge der Arbeitgeber (einschließlich der Entgeltfortzahlung im Krankheitsfall), die Kosten der beruflichen Aus- und Weiterbildung 
Quelle: 
https://www.destatis.de/DE/Presse/Pressemitteilungen/2025/04/PD25_154_624.html</text>
    <extLst>
      <x:ext xmlns:xltc2="http://schemas.microsoft.com/office/spreadsheetml/2020/threadedcomments2" uri="{F7C98A9C-CBB3-438F-8F68-D28B6AF4A901}">
        <xltc2:checksum>1727363325</xltc2:checksum>
        <xltc2:hyperlink startIndex="186" length="78" url="https://www.destatis.de/DE/Presse/Pressemitteilungen/2025/04/PD25_154_624.html"/>
      </x:ext>
    </extLs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O250" dT="2025-12-17T12:45:49.67" personId="{22BA440A-1DEB-4B5A-87EA-978C8B89E85E}" id="{29370338-C8A7-4EE2-94A0-D00A5384CE0A}">
    <text>2 x Schleudern und 4 x Abfüllen / Jahr</text>
  </threadedComment>
  <threadedComment ref="O253" dT="2025-12-17T12:45:49.67" personId="{22BA440A-1DEB-4B5A-87EA-978C8B89E85E}" id="{94C6A839-74F5-4E03-90A7-1957039053BF}">
    <text>2 x Schleudern und 4 x Abfüllen / Jahr</text>
  </threadedComment>
  <threadedComment ref="O256" dT="2025-12-17T12:45:49.67" personId="{22BA440A-1DEB-4B5A-87EA-978C8B89E85E}" id="{D3B3662D-500B-4559-B877-ECE635CAD3BB}">
    <text>2 x Schleudern und 4 x Abfüllen / Jahr</text>
  </threadedComment>
  <threadedComment ref="O259" dT="2025-12-17T12:45:49.67" personId="{22BA440A-1DEB-4B5A-87EA-978C8B89E85E}" id="{D61DE235-8608-4508-ABE8-0B97EFECEE1B}">
    <text>2 x Schleudern und 4 x Abfüllen / Jahr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iwkoeln.de/fileadmin/user_upload/Studien/Gutachten/PDF/2023/IWIP_Gutachten_Industrieimmobilien.pdf" TargetMode="External"/><Relationship Id="rId7" Type="http://schemas.openxmlformats.org/officeDocument/2006/relationships/hyperlink" Target="https://www.lwg.bayern.de/bienen/index.php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www.gesetze-im-internet.de/milov5/MiLoV5.pdf" TargetMode="External"/><Relationship Id="rId1" Type="http://schemas.openxmlformats.org/officeDocument/2006/relationships/hyperlink" Target="https://www.destatis.de/DE/Themen/Arbeit/Arbeitskosten-Lohnnebenkosten/Tabellen/lohnkosten-deutschland.html" TargetMode="External"/><Relationship Id="rId6" Type="http://schemas.openxmlformats.org/officeDocument/2006/relationships/hyperlink" Target="https://wirtschaftslexikon.gabler.de/definition/unternehmerwagnis-48085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static1.squarespace.com/static/62fe5049548fce26fd503807/t/68ef3e48af883e3cf19a96ea/1760509513343/DeBiMo_Schlussbericht2020_2024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tatic1.squarespace.com/static/62fe5049548fce26fd503807/t/68ef3e48af883e3cf19a96ea/1760509513343/DeBiMo_Schlussbericht2020_2024.pdf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219E-690B-4DD6-ABB0-91BAC3CB14AD}">
  <sheetPr>
    <pageSetUpPr fitToPage="1"/>
  </sheetPr>
  <dimension ref="A1"/>
  <sheetViews>
    <sheetView showGridLines="0" zoomScaleNormal="100" workbookViewId="0">
      <selection activeCell="B8" sqref="B8"/>
    </sheetView>
  </sheetViews>
  <sheetFormatPr baseColWidth="10" defaultRowHeight="15"/>
  <cols>
    <col min="1" max="1" width="163.140625" customWidth="1"/>
  </cols>
  <sheetData>
    <row r="1" spans="1:1" ht="362.25" customHeight="1">
      <c r="A1" t="e" vm="1">
        <v>#VALUE!</v>
      </c>
    </row>
  </sheetData>
  <pageMargins left="0.70866141732283472" right="0.70866141732283472" top="0.78740157480314965" bottom="0.78740157480314965" header="0.31496062992125984" footer="0.31496062992125984"/>
  <pageSetup paperSize="9" fitToWidth="0" orientation="landscape" r:id="rId1"/>
  <headerFooter>
    <oddFooter>&amp;L&amp;F &amp;A&amp;C&amp;D &amp;T&amp;RLWG/IBI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4C11-D4BA-4D63-AAFD-4528451EE53F}">
  <sheetPr>
    <tabColor rgb="FFFFC000"/>
    <outlinePr showOutlineSymbols="0"/>
    <pageSetUpPr autoPageBreaks="0" fitToPage="1"/>
  </sheetPr>
  <dimension ref="A1:U54"/>
  <sheetViews>
    <sheetView showGridLines="0" showRowColHeaders="0" tabSelected="1" showOutlineSymbols="0" zoomScaleNormal="100" workbookViewId="0">
      <pane ySplit="9" topLeftCell="A10" activePane="bottomLeft" state="frozen"/>
      <selection pane="bottomLeft" activeCell="C11" sqref="C11"/>
    </sheetView>
  </sheetViews>
  <sheetFormatPr baseColWidth="10" defaultRowHeight="15" outlineLevelRow="1"/>
  <cols>
    <col min="1" max="1" width="6.28515625" style="116" customWidth="1"/>
    <col min="2" max="2" width="33.7109375" style="116" customWidth="1"/>
    <col min="3" max="3" width="14.140625" style="116" customWidth="1"/>
    <col min="4" max="4" width="31.5703125" style="116" customWidth="1"/>
    <col min="5" max="6" width="14.140625" style="116" customWidth="1"/>
    <col min="7" max="7" width="93.140625" style="116" customWidth="1"/>
    <col min="8" max="11" width="11.42578125" style="116"/>
    <col min="12" max="12" width="58.7109375" style="116" customWidth="1"/>
    <col min="13" max="13" width="11.42578125" style="116"/>
    <col min="14" max="14" width="34.7109375" style="116" customWidth="1"/>
    <col min="15" max="16384" width="11.42578125" style="116"/>
  </cols>
  <sheetData>
    <row r="1" spans="1:21" ht="131.25" customHeight="1">
      <c r="B1" s="117" t="s">
        <v>254</v>
      </c>
      <c r="C1" s="118"/>
      <c r="D1" s="118"/>
      <c r="E1" s="118"/>
      <c r="F1" s="118"/>
      <c r="G1" s="118"/>
      <c r="K1" s="119"/>
      <c r="R1" s="120"/>
      <c r="S1" s="120"/>
      <c r="T1" s="120"/>
      <c r="U1" s="120"/>
    </row>
    <row r="2" spans="1:21" ht="15" customHeight="1">
      <c r="B2" s="121" t="s">
        <v>257</v>
      </c>
      <c r="C2" s="121"/>
      <c r="D2" s="121"/>
      <c r="E2" s="121"/>
      <c r="F2" s="121"/>
      <c r="G2" s="121"/>
      <c r="R2" s="120"/>
      <c r="S2" s="120"/>
      <c r="T2" s="120"/>
      <c r="U2" s="120"/>
    </row>
    <row r="3" spans="1:21" ht="35.1" customHeight="1">
      <c r="A3" s="122" t="s">
        <v>220</v>
      </c>
      <c r="B3" s="123" t="s">
        <v>221</v>
      </c>
      <c r="R3" s="120"/>
      <c r="S3" s="120"/>
      <c r="T3" s="120"/>
      <c r="U3" s="120"/>
    </row>
    <row r="4" spans="1:21" ht="25.5" customHeight="1">
      <c r="A4" s="122"/>
      <c r="B4" s="124" t="s">
        <v>228</v>
      </c>
      <c r="C4" s="125" t="s">
        <v>113</v>
      </c>
      <c r="D4" s="126" t="s">
        <v>114</v>
      </c>
      <c r="E4" s="127" t="s">
        <v>264</v>
      </c>
      <c r="F4" s="128"/>
      <c r="G4" s="129" t="s">
        <v>229</v>
      </c>
      <c r="R4" s="120"/>
      <c r="S4" s="120"/>
      <c r="T4" s="120"/>
      <c r="U4" s="120"/>
    </row>
    <row r="5" spans="1:21" s="134" customFormat="1" ht="33.75" customHeight="1">
      <c r="A5" s="122"/>
      <c r="B5" s="130" t="s">
        <v>225</v>
      </c>
      <c r="C5" s="179">
        <f>SUMIFS(calc_pos!$V$2:$V$333,calc_pos!$L$2:$L$333,Start!$C$12,calc_pos!$D$2:$D$333,"x")</f>
        <v>9.959083558450045</v>
      </c>
      <c r="D5" s="131" t="str">
        <f>_xlfn.TEXTJOIN("",TRUE,"EUR/",$C$18,"g im Verkaufsgebinde")</f>
        <v>EUR/500g im Verkaufsgebinde</v>
      </c>
      <c r="E5" s="180">
        <f>+C5/$C$18*1000</f>
        <v>19.91816711690009</v>
      </c>
      <c r="F5" s="132" t="s">
        <v>256</v>
      </c>
      <c r="G5" s="133" t="s">
        <v>238</v>
      </c>
      <c r="R5" s="135"/>
      <c r="S5" s="135"/>
      <c r="T5" s="135"/>
      <c r="U5" s="135"/>
    </row>
    <row r="6" spans="1:21" s="134" customFormat="1" ht="33.75" customHeight="1">
      <c r="A6" s="122"/>
      <c r="B6" s="130" t="s">
        <v>226</v>
      </c>
      <c r="C6" s="179">
        <f>SUMIFS(calc_pos!$V$2:$V$333,calc_pos!$L$2:$L$333,Start!$C$12,calc_pos!$E$2:$E$333,"x")</f>
        <v>8.8590835584500454</v>
      </c>
      <c r="D6" s="131" t="str">
        <f>_xlfn.TEXTJOIN("",TRUE,"EUR/",$C$18,"g im Verkaufsgebinde")</f>
        <v>EUR/500g im Verkaufsgebinde</v>
      </c>
      <c r="E6" s="180">
        <f>+C6/$C$18*1000</f>
        <v>17.718167116900091</v>
      </c>
      <c r="F6" s="132" t="s">
        <v>256</v>
      </c>
      <c r="G6" s="133" t="s">
        <v>239</v>
      </c>
      <c r="R6" s="135"/>
      <c r="S6" s="135"/>
      <c r="T6" s="135"/>
      <c r="U6" s="135"/>
    </row>
    <row r="7" spans="1:21" s="134" customFormat="1" ht="33.75" customHeight="1">
      <c r="A7" s="122"/>
      <c r="B7" s="130" t="s">
        <v>227</v>
      </c>
      <c r="C7" s="179">
        <f>SUMIFS(calc_pos!$V$2:$V$333,calc_pos!$L$2:$L$333,Start!$C$12,calc_pos!$F$2:$F$333,"x")</f>
        <v>6.4285984806722665</v>
      </c>
      <c r="D7" s="131" t="str">
        <f>_xlfn.TEXTJOIN("",TRUE,"EUR/",$C$18,"g im Lagergebinde")</f>
        <v>EUR/500g im Lagergebinde</v>
      </c>
      <c r="E7" s="180">
        <f>+C7/$C$18*1000</f>
        <v>12.857196961344533</v>
      </c>
      <c r="F7" s="132" t="s">
        <v>256</v>
      </c>
      <c r="G7" s="133" t="s">
        <v>240</v>
      </c>
      <c r="R7" s="135"/>
      <c r="S7" s="135"/>
      <c r="T7" s="135"/>
      <c r="U7" s="135"/>
    </row>
    <row r="8" spans="1:21" ht="15" customHeight="1">
      <c r="C8" s="136"/>
      <c r="D8" s="136"/>
      <c r="E8" s="136"/>
      <c r="F8" s="136"/>
      <c r="G8" s="136"/>
      <c r="K8" s="119"/>
      <c r="R8" s="120"/>
      <c r="S8" s="120"/>
      <c r="T8" s="120"/>
      <c r="U8" s="120"/>
    </row>
    <row r="9" spans="1:21" s="134" customFormat="1" ht="24.95" customHeight="1">
      <c r="B9" s="137" t="s">
        <v>90</v>
      </c>
      <c r="C9" s="138" t="s">
        <v>113</v>
      </c>
      <c r="D9" s="137" t="s">
        <v>114</v>
      </c>
      <c r="E9" s="137"/>
      <c r="F9" s="137"/>
      <c r="G9" s="139" t="s">
        <v>115</v>
      </c>
      <c r="K9" s="140"/>
      <c r="R9" s="135"/>
      <c r="S9" s="135"/>
      <c r="T9" s="135"/>
      <c r="U9" s="135"/>
    </row>
    <row r="10" spans="1:21" ht="35.1" customHeight="1">
      <c r="A10" s="122" t="s">
        <v>216</v>
      </c>
      <c r="B10" s="123" t="s">
        <v>122</v>
      </c>
      <c r="G10" s="141"/>
      <c r="R10" s="120"/>
      <c r="S10" s="120"/>
      <c r="T10" s="120"/>
      <c r="U10" s="120"/>
    </row>
    <row r="11" spans="1:21">
      <c r="B11" s="142" t="s">
        <v>196</v>
      </c>
      <c r="C11" s="178" t="s">
        <v>210</v>
      </c>
      <c r="D11" s="142" t="s">
        <v>209</v>
      </c>
      <c r="E11" s="142"/>
      <c r="F11" s="142"/>
      <c r="G11" s="143"/>
      <c r="R11" s="120"/>
      <c r="S11" s="120"/>
      <c r="T11" s="120"/>
      <c r="U11" s="120"/>
    </row>
    <row r="12" spans="1:21" hidden="1" outlineLevel="1">
      <c r="B12" s="142" t="s">
        <v>119</v>
      </c>
      <c r="C12" s="1">
        <f>_xlfn.XLOOKUP(C11,Values!B137:B140,Values!C137:C140)</f>
        <v>6</v>
      </c>
      <c r="D12" s="142" t="s">
        <v>111</v>
      </c>
      <c r="E12" s="142"/>
      <c r="F12" s="142"/>
      <c r="G12" s="143"/>
      <c r="R12" s="120"/>
      <c r="S12" s="120"/>
      <c r="T12" s="120"/>
      <c r="U12" s="120"/>
    </row>
    <row r="13" spans="1:21" collapsed="1">
      <c r="B13" s="142" t="s">
        <v>203</v>
      </c>
      <c r="C13" s="1">
        <v>1</v>
      </c>
      <c r="D13" s="142" t="s">
        <v>202</v>
      </c>
      <c r="E13" s="142"/>
      <c r="F13" s="142"/>
      <c r="G13" s="144"/>
      <c r="R13" s="120"/>
      <c r="S13" s="120"/>
      <c r="T13" s="120"/>
      <c r="U13" s="120"/>
    </row>
    <row r="14" spans="1:21" ht="35.1" customHeight="1">
      <c r="A14" s="122" t="s">
        <v>217</v>
      </c>
      <c r="B14" s="123" t="s">
        <v>123</v>
      </c>
      <c r="C14" s="145"/>
      <c r="D14" s="145"/>
      <c r="E14" s="145"/>
      <c r="F14" s="145"/>
      <c r="G14" s="146"/>
      <c r="R14" s="120"/>
      <c r="S14" s="120"/>
      <c r="T14" s="120"/>
      <c r="U14" s="120"/>
    </row>
    <row r="15" spans="1:21">
      <c r="B15" s="147" t="s">
        <v>197</v>
      </c>
      <c r="C15" s="7">
        <v>35</v>
      </c>
      <c r="D15" s="147" t="s">
        <v>132</v>
      </c>
      <c r="E15" s="147"/>
      <c r="F15" s="147"/>
      <c r="G15" s="148" t="s">
        <v>141</v>
      </c>
      <c r="R15" s="120"/>
      <c r="S15" s="120"/>
      <c r="T15" s="120"/>
      <c r="U15" s="120"/>
    </row>
    <row r="16" spans="1:21" ht="60">
      <c r="B16" s="147" t="s">
        <v>200</v>
      </c>
      <c r="C16" s="8">
        <v>0.15</v>
      </c>
      <c r="D16" s="149" t="s">
        <v>201</v>
      </c>
      <c r="E16" s="149"/>
      <c r="F16" s="149"/>
      <c r="G16" s="150" t="s">
        <v>204</v>
      </c>
      <c r="R16" s="120"/>
      <c r="S16" s="120"/>
      <c r="T16" s="120"/>
      <c r="U16" s="120"/>
    </row>
    <row r="17" spans="1:21" s="145" customFormat="1" ht="35.1" customHeight="1">
      <c r="A17" s="122" t="s">
        <v>218</v>
      </c>
      <c r="B17" s="123" t="s">
        <v>195</v>
      </c>
      <c r="G17" s="146"/>
      <c r="R17" s="151"/>
      <c r="S17" s="151"/>
      <c r="T17" s="151"/>
      <c r="U17" s="151"/>
    </row>
    <row r="18" spans="1:21" ht="15" customHeight="1">
      <c r="B18" s="142" t="s">
        <v>36</v>
      </c>
      <c r="C18" s="1">
        <v>500</v>
      </c>
      <c r="D18" s="142" t="s">
        <v>112</v>
      </c>
      <c r="E18" s="142"/>
      <c r="F18" s="142"/>
      <c r="G18" s="143"/>
      <c r="R18" s="120"/>
      <c r="S18" s="120"/>
      <c r="T18" s="120"/>
      <c r="U18" s="120"/>
    </row>
    <row r="19" spans="1:21" s="152" customFormat="1" ht="15" customHeight="1">
      <c r="B19" s="153" t="s">
        <v>106</v>
      </c>
      <c r="C19" s="2">
        <v>0.51</v>
      </c>
      <c r="D19" s="154" t="s">
        <v>206</v>
      </c>
      <c r="E19" s="154"/>
      <c r="F19" s="154"/>
      <c r="G19" s="155"/>
      <c r="R19" s="156"/>
      <c r="S19" s="156"/>
      <c r="T19" s="156"/>
      <c r="U19" s="156"/>
    </row>
    <row r="20" spans="1:21" s="152" customFormat="1" ht="15" customHeight="1">
      <c r="B20" s="153" t="s">
        <v>125</v>
      </c>
      <c r="C20" s="2">
        <v>0.13</v>
      </c>
      <c r="D20" s="154" t="s">
        <v>206</v>
      </c>
      <c r="E20" s="154"/>
      <c r="F20" s="154"/>
      <c r="G20" s="155"/>
      <c r="R20" s="156"/>
      <c r="S20" s="156"/>
      <c r="T20" s="156"/>
      <c r="U20" s="156"/>
    </row>
    <row r="21" spans="1:21" s="152" customFormat="1" ht="15" customHeight="1">
      <c r="B21" s="153" t="s">
        <v>126</v>
      </c>
      <c r="C21" s="2">
        <f>18.2/600</f>
        <v>3.0333333333333334E-2</v>
      </c>
      <c r="D21" s="154" t="s">
        <v>206</v>
      </c>
      <c r="E21" s="154"/>
      <c r="F21" s="154"/>
      <c r="G21" s="155"/>
      <c r="R21" s="156"/>
      <c r="S21" s="156"/>
      <c r="T21" s="156"/>
      <c r="U21" s="156"/>
    </row>
    <row r="22" spans="1:21" s="152" customFormat="1" ht="15" customHeight="1">
      <c r="B22" s="153" t="s">
        <v>127</v>
      </c>
      <c r="C22" s="2">
        <f>68.85/240</f>
        <v>0.28687499999999999</v>
      </c>
      <c r="D22" s="154" t="s">
        <v>206</v>
      </c>
      <c r="E22" s="154"/>
      <c r="F22" s="154"/>
      <c r="G22" s="155"/>
      <c r="R22" s="156"/>
      <c r="S22" s="156"/>
      <c r="T22" s="156"/>
      <c r="U22" s="156"/>
    </row>
    <row r="23" spans="1:21" ht="15" customHeight="1">
      <c r="B23" s="142" t="s">
        <v>205</v>
      </c>
      <c r="C23" s="157">
        <f>SUM(C19:C22)</f>
        <v>0.95720833333333333</v>
      </c>
      <c r="D23" s="158" t="s">
        <v>206</v>
      </c>
      <c r="E23" s="158"/>
      <c r="F23" s="158"/>
      <c r="G23" s="143"/>
      <c r="R23" s="120"/>
      <c r="S23" s="120"/>
      <c r="T23" s="120"/>
      <c r="U23" s="120"/>
    </row>
    <row r="24" spans="1:21" ht="15" customHeight="1">
      <c r="B24" s="142" t="s">
        <v>207</v>
      </c>
      <c r="C24" s="3">
        <v>0.7</v>
      </c>
      <c r="D24" s="142" t="s">
        <v>208</v>
      </c>
      <c r="E24" s="142"/>
      <c r="F24" s="142"/>
      <c r="G24" s="143"/>
      <c r="R24" s="120"/>
      <c r="S24" s="120"/>
      <c r="T24" s="120"/>
      <c r="U24" s="120"/>
    </row>
    <row r="25" spans="1:21">
      <c r="B25" s="147" t="s">
        <v>130</v>
      </c>
      <c r="C25" s="9">
        <v>1.8</v>
      </c>
      <c r="D25" s="147" t="s">
        <v>270</v>
      </c>
      <c r="E25" s="147"/>
      <c r="F25" s="147"/>
      <c r="G25" s="159" t="s">
        <v>199</v>
      </c>
      <c r="R25" s="120"/>
      <c r="S25" s="120"/>
      <c r="T25" s="120"/>
      <c r="U25" s="120"/>
    </row>
    <row r="26" spans="1:21">
      <c r="B26" s="147" t="s">
        <v>128</v>
      </c>
      <c r="C26" s="7">
        <v>15</v>
      </c>
      <c r="D26" s="147" t="s">
        <v>198</v>
      </c>
      <c r="E26" s="147"/>
      <c r="F26" s="147"/>
      <c r="G26" s="159" t="s">
        <v>129</v>
      </c>
      <c r="R26" s="120"/>
      <c r="S26" s="120"/>
      <c r="T26" s="120"/>
      <c r="U26" s="120"/>
    </row>
    <row r="27" spans="1:21" ht="15" hidden="1" customHeight="1" outlineLevel="1">
      <c r="B27" s="142" t="s">
        <v>265</v>
      </c>
      <c r="C27" s="4">
        <v>2</v>
      </c>
      <c r="D27" s="147" t="s">
        <v>256</v>
      </c>
      <c r="E27" s="142"/>
      <c r="F27" s="142"/>
      <c r="G27" s="142" t="s">
        <v>266</v>
      </c>
      <c r="R27" s="120"/>
      <c r="S27" s="120"/>
      <c r="T27" s="120"/>
      <c r="U27" s="120"/>
    </row>
    <row r="28" spans="1:21" s="145" customFormat="1" ht="35.1" customHeight="1" collapsed="1">
      <c r="A28" s="122" t="s">
        <v>219</v>
      </c>
      <c r="B28" s="123" t="s">
        <v>160</v>
      </c>
      <c r="G28" s="146"/>
    </row>
    <row r="29" spans="1:21" s="160" customFormat="1" ht="45" customHeight="1">
      <c r="B29" s="147" t="s">
        <v>214</v>
      </c>
      <c r="C29" s="9">
        <v>14</v>
      </c>
      <c r="D29" s="149" t="s">
        <v>215</v>
      </c>
      <c r="E29" s="149"/>
      <c r="F29" s="149"/>
      <c r="G29" s="161" t="s">
        <v>137</v>
      </c>
      <c r="R29" s="162"/>
      <c r="S29" s="162"/>
      <c r="T29" s="162"/>
      <c r="U29" s="162"/>
    </row>
    <row r="30" spans="1:21" s="160" customFormat="1" ht="15" customHeight="1">
      <c r="B30" s="147" t="s">
        <v>118</v>
      </c>
      <c r="C30" s="8">
        <v>0.28999999999999998</v>
      </c>
      <c r="D30" s="163" t="s">
        <v>143</v>
      </c>
      <c r="E30" s="163"/>
      <c r="F30" s="163"/>
      <c r="G30" s="164" t="s">
        <v>138</v>
      </c>
      <c r="R30" s="162"/>
      <c r="S30" s="162"/>
      <c r="T30" s="162"/>
      <c r="U30" s="162"/>
    </row>
    <row r="31" spans="1:21" s="160" customFormat="1" ht="15" customHeight="1">
      <c r="B31" s="147" t="s">
        <v>16</v>
      </c>
      <c r="C31" s="5">
        <v>4.6100000000000003</v>
      </c>
      <c r="D31" s="147" t="s">
        <v>124</v>
      </c>
      <c r="E31" s="147"/>
      <c r="F31" s="147"/>
      <c r="G31" s="164" t="s">
        <v>139</v>
      </c>
      <c r="R31" s="162"/>
      <c r="S31" s="162"/>
      <c r="T31" s="162"/>
      <c r="U31" s="162"/>
    </row>
    <row r="32" spans="1:21" s="160" customFormat="1" ht="15" customHeight="1">
      <c r="B32" s="147" t="s">
        <v>159</v>
      </c>
      <c r="C32" s="6">
        <v>0.1</v>
      </c>
      <c r="D32" s="147" t="s">
        <v>162</v>
      </c>
      <c r="E32" s="147"/>
      <c r="F32" s="147"/>
      <c r="G32" s="161" t="s">
        <v>252</v>
      </c>
      <c r="R32" s="162"/>
      <c r="S32" s="162"/>
      <c r="T32" s="162"/>
      <c r="U32" s="162"/>
    </row>
    <row r="34" spans="1:21" s="167" customFormat="1" ht="33.75" customHeight="1">
      <c r="A34" s="122" t="s">
        <v>224</v>
      </c>
      <c r="B34" s="123" t="s">
        <v>222</v>
      </c>
      <c r="C34" s="181"/>
      <c r="D34" s="165"/>
      <c r="E34" s="165"/>
      <c r="F34" s="165"/>
      <c r="G34" s="166"/>
      <c r="R34" s="168"/>
      <c r="S34" s="168"/>
      <c r="T34" s="168"/>
      <c r="U34" s="168"/>
    </row>
    <row r="35" spans="1:21">
      <c r="B35" s="169" t="s">
        <v>223</v>
      </c>
      <c r="C35" s="170"/>
      <c r="D35" s="170"/>
      <c r="E35" s="170"/>
      <c r="F35" s="170"/>
      <c r="G35" s="170"/>
      <c r="K35" s="119"/>
    </row>
    <row r="36" spans="1:21">
      <c r="B36" s="169" t="s">
        <v>144</v>
      </c>
      <c r="C36" s="170"/>
      <c r="D36" s="170"/>
      <c r="E36" s="170"/>
      <c r="F36" s="170"/>
      <c r="G36" s="170"/>
      <c r="K36" s="119"/>
    </row>
    <row r="37" spans="1:21">
      <c r="B37" s="169" t="s">
        <v>253</v>
      </c>
      <c r="C37" s="170"/>
      <c r="D37" s="170"/>
      <c r="E37" s="170"/>
      <c r="F37" s="170"/>
      <c r="G37" s="170"/>
      <c r="K37" s="119"/>
    </row>
    <row r="38" spans="1:21">
      <c r="B38" s="169"/>
      <c r="C38" s="170"/>
      <c r="D38" s="170"/>
      <c r="E38" s="170"/>
      <c r="F38" s="170"/>
      <c r="G38" s="170"/>
      <c r="K38" s="119"/>
    </row>
    <row r="39" spans="1:21" ht="17.25" customHeight="1">
      <c r="B39" s="171" t="s">
        <v>120</v>
      </c>
      <c r="C39" s="171"/>
      <c r="D39" s="171"/>
      <c r="E39" s="171"/>
      <c r="F39" s="171"/>
      <c r="G39" s="171"/>
    </row>
    <row r="40" spans="1:21" ht="51" customHeight="1">
      <c r="B40" s="171" t="s">
        <v>181</v>
      </c>
      <c r="C40" s="171"/>
      <c r="D40" s="171"/>
      <c r="E40" s="171"/>
      <c r="F40" s="171"/>
      <c r="G40" s="171"/>
    </row>
    <row r="41" spans="1:21" ht="33" customHeight="1">
      <c r="B41" s="171" t="s">
        <v>121</v>
      </c>
      <c r="C41" s="171"/>
      <c r="D41" s="171"/>
      <c r="E41" s="171"/>
      <c r="F41" s="171"/>
      <c r="G41" s="171"/>
    </row>
    <row r="42" spans="1:21" ht="15.75" customHeight="1">
      <c r="B42" s="172" t="s">
        <v>91</v>
      </c>
      <c r="C42" s="173"/>
      <c r="D42" s="173"/>
      <c r="E42" s="173"/>
      <c r="F42" s="173"/>
      <c r="G42" s="173"/>
    </row>
    <row r="43" spans="1:21">
      <c r="B43" s="172" t="s">
        <v>94</v>
      </c>
      <c r="C43" s="174"/>
      <c r="D43" s="174"/>
      <c r="E43" s="174"/>
      <c r="F43" s="174"/>
      <c r="G43" s="174"/>
    </row>
    <row r="44" spans="1:21">
      <c r="B44" s="172" t="s">
        <v>267</v>
      </c>
      <c r="C44" s="174"/>
      <c r="D44" s="174"/>
      <c r="E44" s="174"/>
      <c r="F44" s="174"/>
      <c r="G44" s="174"/>
      <c r="K44" s="119"/>
    </row>
    <row r="46" spans="1:21">
      <c r="B46" s="172" t="s">
        <v>255</v>
      </c>
      <c r="D46" s="175" t="s">
        <v>258</v>
      </c>
      <c r="E46" s="174" t="s">
        <v>259</v>
      </c>
      <c r="F46" s="174"/>
      <c r="G46" s="174"/>
    </row>
    <row r="47" spans="1:21">
      <c r="D47" s="174"/>
      <c r="E47" s="174" t="s">
        <v>260</v>
      </c>
      <c r="F47" s="174"/>
      <c r="G47" s="174"/>
    </row>
    <row r="48" spans="1:21">
      <c r="D48" s="174"/>
      <c r="E48" s="174" t="s">
        <v>261</v>
      </c>
      <c r="F48" s="174"/>
      <c r="G48" s="174"/>
    </row>
    <row r="49" spans="2:12">
      <c r="D49" s="174"/>
      <c r="E49" s="174" t="s">
        <v>262</v>
      </c>
      <c r="F49" s="174"/>
      <c r="G49" s="176" t="s">
        <v>263</v>
      </c>
    </row>
    <row r="53" spans="2:12">
      <c r="K53" s="119"/>
    </row>
    <row r="54" spans="2:12">
      <c r="B54" s="145"/>
      <c r="C54" s="145"/>
      <c r="D54" s="145"/>
      <c r="E54" s="145"/>
      <c r="F54" s="145"/>
      <c r="G54" s="145"/>
      <c r="H54" s="145"/>
      <c r="I54" s="145"/>
      <c r="J54" s="145"/>
      <c r="K54" s="177"/>
      <c r="L54" s="145"/>
    </row>
  </sheetData>
  <sheetProtection algorithmName="SHA-512" hashValue="fK4rhKlz5AVPptdzv5sZG0E+bQY1tZFjDjhXkHcejsRuPnQVSYk+D13IbKV8iVN4kut0GDSXLNPTw7Mr5LFDeA==" saltValue="UdLgBTr4DSmfB+elYgaA8Q==" spinCount="100000" sheet="1" objects="1" scenarios="1"/>
  <mergeCells count="4">
    <mergeCell ref="B2:G2"/>
    <mergeCell ref="B39:G39"/>
    <mergeCell ref="B40:G40"/>
    <mergeCell ref="B41:G41"/>
  </mergeCells>
  <conditionalFormatting sqref="C5:C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{33014C93-4D7A-4573-9927-032189EE1162}</x14:id>
        </ext>
      </extLst>
    </cfRule>
  </conditionalFormatting>
  <conditionalFormatting sqref="C34">
    <cfRule type="iconSet" priority="4">
      <iconSet iconSet="3ArrowsGray">
        <cfvo type="percent" val="0"/>
        <cfvo type="percent" val="33"/>
        <cfvo type="percent" val="67"/>
      </iconSet>
    </cfRule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5:E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{722E15FD-375C-4AAA-B347-CD4345B64A1D}</x14:id>
        </ext>
      </extLst>
    </cfRule>
  </conditionalFormatting>
  <dataValidations xWindow="329" yWindow="419" count="14">
    <dataValidation type="decimal" allowBlank="1" showInputMessage="1" showErrorMessage="1" promptTitle="Verlustrate" prompt="Bitte Völkerverluste in % eingeben - neben Winterverlusten auch alle weiteren" sqref="C16" xr:uid="{DEE2DEE7-A4A8-4BDA-9FCC-0F9B0B189AC1}">
      <formula1>0</formula1>
      <formula2>1</formula2>
    </dataValidation>
    <dataValidation type="whole" allowBlank="1" showInputMessage="1" showErrorMessage="1" error="Bitte Prozentzahl zwischen 0 und 100% eingeben" promptTitle="Futterverbrauch" prompt="Bitte Verbrauch an Futtermittel in kg je Wirtschaftsvolk und Jahr eingeben" sqref="C26" xr:uid="{0A778C8E-98F4-4DD4-9A3C-62F0EDBD3A0D}">
      <formula1>0</formula1>
      <formula2>60</formula2>
    </dataValidation>
    <dataValidation type="decimal" allowBlank="1" showInputMessage="1" showErrorMessage="1" promptTitle="Preise Primärpackmittel" prompt="Bitte Einkaufspreis in EUR/Verkaufsgebinde eintragen" sqref="C19:C22" xr:uid="{AD4B924C-4D77-4481-8F58-491BAD234242}">
      <formula1>0</formula1>
      <formula2>9</formula2>
    </dataValidation>
    <dataValidation type="decimal" allowBlank="1" showInputMessage="1" showErrorMessage="1" promptTitle="Inhalt je Verkaufsgebinde" prompt="Bitte geben Sie den Glasinhalt in Gramm Honig / Glas ein" sqref="C18" xr:uid="{82666A1D-4245-4CB1-B9BB-73A4F0C0117F}">
      <formula1>50</formula1>
      <formula2>1000</formula2>
    </dataValidation>
    <dataValidation type="decimal" allowBlank="1" showInputMessage="1" showErrorMessage="1" promptTitle="Unternehmenswagnis /-gewinn" prompt="Bitte Prozent gewünschten Unternehmensgewinn eintragen" sqref="C32" xr:uid="{5640764A-4E77-4314-AF71-33458011C8E4}">
      <formula1>0</formula1>
      <formula2>1</formula2>
    </dataValidation>
    <dataValidation type="decimal" allowBlank="1" showInputMessage="1" showErrorMessage="1" promptTitle="Standeentfernung" prompt="Bitte Wert der mittleren Standentfernung in KFZ-Kilometer (einfach) eintragen" sqref="C13" xr:uid="{47A3E056-424E-4DC3-9CA0-641CFB9C4A52}">
      <formula1>0</formula1>
      <formula2>999</formula2>
    </dataValidation>
    <dataValidation type="decimal" allowBlank="1" showInputMessage="1" showErrorMessage="1" promptTitle="Wie groß ist Ihr Betrieb ?" prompt="Bitte Wert der mittleren Standentfernung in Kilometer (einfach) eintragen" sqref="C16 C14 C25:C26" xr:uid="{F28F0DB1-FF1D-4D85-9173-63519C923134}">
      <formula1>0</formula1>
      <formula2>150</formula2>
    </dataValidation>
    <dataValidation type="whole" allowBlank="1" showInputMessage="1" showErrorMessage="1" promptTitle="Honigertrag" prompt="Bitte durchschnittlichen Honigertrag in kg je Wirtschaftsvolk und Jahr eingeben" sqref="C15" xr:uid="{455510D1-5E4D-44E1-B47F-B33B2A87076E}">
      <formula1>0</formula1>
      <formula2>150</formula2>
    </dataValidation>
    <dataValidation type="decimal" allowBlank="1" showInputMessage="1" showErrorMessage="1" promptTitle="Sozialaufwand" prompt="Bitte Prozent Sozialaufwand / Lohnnebenkosten eintragen" sqref="C30" xr:uid="{91181CD2-E949-454D-95D8-945008951247}">
      <formula1>0</formula1>
      <formula2>1</formula2>
    </dataValidation>
    <dataValidation type="decimal" allowBlank="1" showInputMessage="1" showErrorMessage="1" promptTitle="Entlohnung Räume" prompt="Bitte Raumkosten in EUR je m² und Monat eintragen" sqref="C31" xr:uid="{6EED1E1E-CE74-468B-B3D9-F78CD12C427B}">
      <formula1>0</formula1>
      <formula2>10</formula2>
    </dataValidation>
    <dataValidation allowBlank="1" showInputMessage="1" showErrorMessage="1" promptTitle="Entlohnung Arbeit" prompt="Bitte Stundenlohn EUR / Arbeitsstunde eintragen" sqref="C29" xr:uid="{ECAD9593-14F5-4BAF-A644-1E27D6A6C4AC}"/>
    <dataValidation type="decimal" allowBlank="1" showInputMessage="1" showErrorMessage="1" promptTitle="Honigertrag" prompt="Bitte durchschnittlichen Honigertrag in kg je Wirtschaftsvolk und Jahr eingeben" sqref="C15" xr:uid="{5C32858F-04BC-471C-9ECD-278881A4474A}">
      <formula1>0</formula1>
      <formula2>150</formula2>
    </dataValidation>
    <dataValidation type="decimal" allowBlank="1" showInputMessage="1" showErrorMessage="1" error="Bitte Prozentzahl zwischen 0 und 100% eingeben" promptTitle="Rücklauf Leergläser" prompt="Bitte Rücklaufquote in % eingeben" sqref="C24" xr:uid="{6AB7E5C9-6BA7-428F-9566-DAC8913CECFB}">
      <formula1>0</formula1>
      <formula2>1</formula2>
    </dataValidation>
    <dataValidation type="decimal" allowBlank="1" showInputMessage="1" showErrorMessage="1" error="Bitte Prozentzahl zwischen 0 und 100% eingeben" promptTitle="Futterkosten" prompt="Bitte durchschnittlichen Einkaufspreis EUR je kg Futter eingeben" sqref="C25" xr:uid="{91C0154B-7FEF-4986-B27B-951B08117852}">
      <formula1>0</formula1>
      <formula2>1</formula2>
    </dataValidation>
  </dataValidations>
  <hyperlinks>
    <hyperlink ref="G30" r:id="rId1" xr:uid="{FE02413C-EF5F-4A0E-97DB-3F83E68A09EE}"/>
    <hyperlink ref="G29" r:id="rId2" xr:uid="{5DC8D386-F653-4D90-8456-B11DDC3E6745}"/>
    <hyperlink ref="G31" r:id="rId3" xr:uid="{E9BDE6E0-2218-4511-B32F-0A319D0B757D}"/>
    <hyperlink ref="G15" r:id="rId4" xr:uid="{0E91A81C-D16B-4BA4-9894-7593BCA1B96F}"/>
    <hyperlink ref="G16" r:id="rId5" xr:uid="{56BFA33D-C799-4007-9CD8-8D815F43E3FF}"/>
    <hyperlink ref="G32" r:id="rId6" display="Unternehmenswagnis" xr:uid="{FF97EB8C-6D7E-4B2F-AC59-F173F0310CD0}"/>
    <hyperlink ref="G49" r:id="rId7" tooltip=" Bayerische Landesanstalt für Weinbau und Gartenbau" xr:uid="{70856F73-3214-4469-B92E-893E600AAA42}"/>
  </hyperlinks>
  <pageMargins left="0.31496062992125984" right="0.11811023622047245" top="0.59055118110236227" bottom="0.59055118110236227" header="0.11811023622047245" footer="0.31496062992125984"/>
  <pageSetup paperSize="9" scale="47" orientation="portrait" r:id="rId8"/>
  <headerFooter>
    <oddFooter>&amp;L&amp;F &amp;A&amp;C&amp;D &amp;T&amp;Rlwg/ibi</oddFooter>
  </headerFooter>
  <drawing r:id="rId9"/>
  <legacyDrawing r:id="rId1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014C93-4D7A-4573-9927-032189EE11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C5:C7</xm:sqref>
        </x14:conditionalFormatting>
        <x14:conditionalFormatting xmlns:xm="http://schemas.microsoft.com/office/excel/2006/main">
          <x14:cfRule type="dataBar" id="{722E15FD-375C-4AAA-B347-CD4345B64A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E5:E7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29" yWindow="419" count="5">
        <x14:dataValidation type="list" allowBlank="1" showInputMessage="1" showErrorMessage="1" xr:uid="{CCE07565-6B9B-467C-9CBD-ED30BBB63D2F}">
          <x14:formula1>
            <xm:f>Values!$A$39:$A$55</xm:f>
          </x14:formula1>
          <xm:sqref>C26</xm:sqref>
        </x14:dataValidation>
        <x14:dataValidation type="list" allowBlank="1" showInputMessage="1" showErrorMessage="1" xr:uid="{0850C44F-E2D8-423A-9FB8-EC3EDE904DC4}">
          <x14:formula1>
            <xm:f>Values!$A$58:$A$73</xm:f>
          </x14:formula1>
          <xm:sqref>C25</xm:sqref>
        </x14:dataValidation>
        <x14:dataValidation type="list" allowBlank="1" showInputMessage="1" showErrorMessage="1" promptTitle="Wie groß ist Ihr Betrieb ?" prompt="Bitte Betriebsgröße auswählen" xr:uid="{1D939D3B-349D-4A22-B61E-1FBA29DDD660}">
          <x14:formula1>
            <xm:f>Values!$B$137:$B$140</xm:f>
          </x14:formula1>
          <xm:sqref>C11</xm:sqref>
        </x14:dataValidation>
        <x14:dataValidation type="list" allowBlank="1" showInputMessage="1" showErrorMessage="1" promptTitle="Wie groß ist Ihr Betrieb ?" prompt="Bitte wählen Sie aus der Liste aus" xr:uid="{DDF2C395-49F8-44BB-A6B3-2A05FE8BC438}">
          <x14:formula1>
            <xm:f>Values!$B$137:$B$140</xm:f>
          </x14:formula1>
          <xm:sqref>C11</xm:sqref>
        </x14:dataValidation>
        <x14:dataValidation type="list" allowBlank="1" showInputMessage="1" showErrorMessage="1" xr:uid="{C29536A7-A042-4DF3-A6CF-3EB5E49000D7}">
          <x14:formula1>
            <xm:f>Values!$C$137:$C$140</xm:f>
          </x14:formula1>
          <xm:sqref>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84CF-383C-4BAC-BA8C-785E3C69C4EC}">
  <dimension ref="A1:C140"/>
  <sheetViews>
    <sheetView showGridLines="0" topLeftCell="A101" zoomScale="90" zoomScaleNormal="90" workbookViewId="0">
      <selection activeCell="A101" sqref="A1:XFD1048576"/>
    </sheetView>
  </sheetViews>
  <sheetFormatPr baseColWidth="10" defaultRowHeight="15"/>
  <cols>
    <col min="1" max="1" width="8.28515625" style="19" customWidth="1"/>
    <col min="2" max="2" width="68.5703125" style="19" customWidth="1"/>
    <col min="3" max="4" width="11.42578125" style="19"/>
    <col min="5" max="5" width="42.85546875" style="19" customWidth="1"/>
    <col min="6" max="16384" width="11.42578125" style="19"/>
  </cols>
  <sheetData>
    <row r="1" spans="1:2" s="93" customFormat="1" ht="24.95" customHeight="1">
      <c r="A1" s="91" t="s">
        <v>113</v>
      </c>
      <c r="B1" s="92" t="s">
        <v>131</v>
      </c>
    </row>
    <row r="2" spans="1:2">
      <c r="A2" s="94">
        <v>0.05</v>
      </c>
      <c r="B2" s="95"/>
    </row>
    <row r="3" spans="1:2">
      <c r="A3" s="94">
        <v>0.1</v>
      </c>
      <c r="B3" s="95"/>
    </row>
    <row r="4" spans="1:2">
      <c r="A4" s="96">
        <v>0.121</v>
      </c>
      <c r="B4" s="97" t="s">
        <v>133</v>
      </c>
    </row>
    <row r="5" spans="1:2">
      <c r="A5" s="94">
        <v>0.15</v>
      </c>
      <c r="B5" s="95"/>
    </row>
    <row r="6" spans="1:2">
      <c r="A6" s="94">
        <v>0.2</v>
      </c>
      <c r="B6" s="95"/>
    </row>
    <row r="7" spans="1:2">
      <c r="A7" s="94">
        <v>0.25</v>
      </c>
      <c r="B7" s="95"/>
    </row>
    <row r="8" spans="1:2">
      <c r="A8" s="94">
        <v>0.3</v>
      </c>
      <c r="B8" s="95"/>
    </row>
    <row r="9" spans="1:2">
      <c r="A9" s="94">
        <v>0.35</v>
      </c>
      <c r="B9" s="95"/>
    </row>
    <row r="10" spans="1:2">
      <c r="A10" s="94">
        <v>0.4</v>
      </c>
      <c r="B10" s="95"/>
    </row>
    <row r="11" spans="1:2">
      <c r="A11" s="94">
        <v>0.45</v>
      </c>
      <c r="B11" s="95"/>
    </row>
    <row r="12" spans="1:2">
      <c r="A12" s="94">
        <v>0.5</v>
      </c>
      <c r="B12" s="98"/>
    </row>
    <row r="13" spans="1:2" ht="36" customHeight="1"/>
    <row r="14" spans="1:2" s="93" customFormat="1" ht="24.95" customHeight="1">
      <c r="A14" s="91" t="s">
        <v>113</v>
      </c>
      <c r="B14" s="92" t="s">
        <v>132</v>
      </c>
    </row>
    <row r="15" spans="1:2">
      <c r="A15" s="99">
        <v>0.05</v>
      </c>
      <c r="B15" s="95"/>
    </row>
    <row r="16" spans="1:2">
      <c r="A16" s="99">
        <v>5</v>
      </c>
      <c r="B16" s="95"/>
    </row>
    <row r="17" spans="1:2">
      <c r="A17" s="99">
        <v>10</v>
      </c>
      <c r="B17" s="95"/>
    </row>
    <row r="18" spans="1:2">
      <c r="A18" s="99">
        <v>15</v>
      </c>
      <c r="B18" s="95"/>
    </row>
    <row r="19" spans="1:2">
      <c r="A19" s="99">
        <v>19.975000000000001</v>
      </c>
      <c r="B19" s="95"/>
    </row>
    <row r="20" spans="1:2">
      <c r="A20" s="99">
        <v>24.96</v>
      </c>
      <c r="B20" s="95"/>
    </row>
    <row r="21" spans="1:2">
      <c r="A21" s="99">
        <v>29.945</v>
      </c>
      <c r="B21" s="95"/>
    </row>
    <row r="22" spans="1:2">
      <c r="A22" s="99">
        <v>34.93</v>
      </c>
      <c r="B22" s="95"/>
    </row>
    <row r="23" spans="1:2">
      <c r="A23" s="100">
        <v>38.369999999999997</v>
      </c>
      <c r="B23" s="97" t="s">
        <v>134</v>
      </c>
    </row>
    <row r="24" spans="1:2">
      <c r="A24" s="99">
        <v>39.914999999999999</v>
      </c>
      <c r="B24" s="95"/>
    </row>
    <row r="25" spans="1:2">
      <c r="A25" s="99">
        <v>44.9</v>
      </c>
      <c r="B25" s="95"/>
    </row>
    <row r="26" spans="1:2">
      <c r="A26" s="99">
        <v>49.884999999999998</v>
      </c>
      <c r="B26" s="95"/>
    </row>
    <row r="27" spans="1:2">
      <c r="A27" s="99">
        <v>54.87</v>
      </c>
      <c r="B27" s="95"/>
    </row>
    <row r="28" spans="1:2">
      <c r="A28" s="99">
        <v>59.854999999999997</v>
      </c>
      <c r="B28" s="95"/>
    </row>
    <row r="29" spans="1:2">
      <c r="A29" s="99">
        <v>64.84</v>
      </c>
      <c r="B29" s="95"/>
    </row>
    <row r="30" spans="1:2">
      <c r="A30" s="99">
        <v>69.825000000000003</v>
      </c>
      <c r="B30" s="95"/>
    </row>
    <row r="31" spans="1:2">
      <c r="A31" s="99">
        <v>74.81</v>
      </c>
      <c r="B31" s="95"/>
    </row>
    <row r="32" spans="1:2">
      <c r="A32" s="99">
        <v>79.795000000000002</v>
      </c>
      <c r="B32" s="95"/>
    </row>
    <row r="33" spans="1:2">
      <c r="A33" s="99">
        <v>84.78</v>
      </c>
      <c r="B33" s="95"/>
    </row>
    <row r="34" spans="1:2">
      <c r="A34" s="99">
        <v>89.765000000000001</v>
      </c>
      <c r="B34" s="95"/>
    </row>
    <row r="35" spans="1:2">
      <c r="A35" s="99">
        <v>94.75</v>
      </c>
      <c r="B35" s="95"/>
    </row>
    <row r="36" spans="1:2">
      <c r="A36" s="99">
        <v>99.734999999999999</v>
      </c>
      <c r="B36" s="98"/>
    </row>
    <row r="37" spans="1:2" ht="30.75" customHeight="1"/>
    <row r="38" spans="1:2" s="93" customFormat="1" ht="24.95" customHeight="1">
      <c r="A38" s="91" t="s">
        <v>113</v>
      </c>
      <c r="B38" s="92" t="s">
        <v>135</v>
      </c>
    </row>
    <row r="39" spans="1:2">
      <c r="A39" s="101">
        <v>0</v>
      </c>
      <c r="B39" s="95"/>
    </row>
    <row r="40" spans="1:2">
      <c r="A40" s="101">
        <v>2.5</v>
      </c>
      <c r="B40" s="95"/>
    </row>
    <row r="41" spans="1:2">
      <c r="A41" s="101">
        <v>5</v>
      </c>
      <c r="B41" s="95"/>
    </row>
    <row r="42" spans="1:2">
      <c r="A42" s="101">
        <v>7.5</v>
      </c>
      <c r="B42" s="95"/>
    </row>
    <row r="43" spans="1:2">
      <c r="A43" s="101">
        <v>10</v>
      </c>
      <c r="B43" s="95"/>
    </row>
    <row r="44" spans="1:2">
      <c r="A44" s="101">
        <v>12.5</v>
      </c>
      <c r="B44" s="95"/>
    </row>
    <row r="45" spans="1:2">
      <c r="A45" s="101">
        <v>15</v>
      </c>
      <c r="B45" s="95"/>
    </row>
    <row r="46" spans="1:2">
      <c r="A46" s="101">
        <v>17.5</v>
      </c>
      <c r="B46" s="95"/>
    </row>
    <row r="47" spans="1:2">
      <c r="A47" s="101">
        <v>20</v>
      </c>
      <c r="B47" s="97"/>
    </row>
    <row r="48" spans="1:2">
      <c r="A48" s="101">
        <v>22.5</v>
      </c>
      <c r="B48" s="95"/>
    </row>
    <row r="49" spans="1:2">
      <c r="A49" s="101">
        <v>25</v>
      </c>
      <c r="B49" s="95"/>
    </row>
    <row r="50" spans="1:2">
      <c r="A50" s="101">
        <v>27.5</v>
      </c>
      <c r="B50" s="95"/>
    </row>
    <row r="51" spans="1:2">
      <c r="A51" s="101">
        <v>30</v>
      </c>
      <c r="B51" s="95"/>
    </row>
    <row r="52" spans="1:2">
      <c r="A52" s="101">
        <v>32.5</v>
      </c>
      <c r="B52" s="95"/>
    </row>
    <row r="53" spans="1:2">
      <c r="A53" s="101">
        <v>35</v>
      </c>
      <c r="B53" s="95"/>
    </row>
    <row r="54" spans="1:2">
      <c r="A54" s="101">
        <v>37.5</v>
      </c>
      <c r="B54" s="95"/>
    </row>
    <row r="55" spans="1:2">
      <c r="A55" s="101">
        <v>40</v>
      </c>
      <c r="B55" s="98"/>
    </row>
    <row r="56" spans="1:2" ht="39" customHeight="1"/>
    <row r="57" spans="1:2" s="93" customFormat="1" ht="24.95" customHeight="1">
      <c r="A57" s="91" t="s">
        <v>113</v>
      </c>
      <c r="B57" s="92" t="s">
        <v>136</v>
      </c>
    </row>
    <row r="58" spans="1:2">
      <c r="A58" s="102">
        <v>0</v>
      </c>
      <c r="B58" s="95"/>
    </row>
    <row r="59" spans="1:2">
      <c r="A59" s="102">
        <v>0.2</v>
      </c>
      <c r="B59" s="95"/>
    </row>
    <row r="60" spans="1:2">
      <c r="A60" s="102">
        <v>0.4</v>
      </c>
      <c r="B60" s="95"/>
    </row>
    <row r="61" spans="1:2">
      <c r="A61" s="102">
        <v>0.6</v>
      </c>
      <c r="B61" s="95"/>
    </row>
    <row r="62" spans="1:2">
      <c r="A62" s="102">
        <v>0.8</v>
      </c>
      <c r="B62" s="95"/>
    </row>
    <row r="63" spans="1:2">
      <c r="A63" s="102">
        <v>1</v>
      </c>
      <c r="B63" s="95"/>
    </row>
    <row r="64" spans="1:2">
      <c r="A64" s="102">
        <v>1.2</v>
      </c>
      <c r="B64" s="95"/>
    </row>
    <row r="65" spans="1:2">
      <c r="A65" s="102">
        <v>1.4</v>
      </c>
      <c r="B65" s="95"/>
    </row>
    <row r="66" spans="1:2">
      <c r="A66" s="102">
        <v>1.6</v>
      </c>
      <c r="B66" s="97"/>
    </row>
    <row r="67" spans="1:2">
      <c r="A67" s="102">
        <v>1.8</v>
      </c>
      <c r="B67" s="95"/>
    </row>
    <row r="68" spans="1:2">
      <c r="A68" s="102">
        <v>2</v>
      </c>
      <c r="B68" s="95"/>
    </row>
    <row r="69" spans="1:2">
      <c r="A69" s="102">
        <v>2.2000000000000002</v>
      </c>
      <c r="B69" s="95"/>
    </row>
    <row r="70" spans="1:2">
      <c r="A70" s="102">
        <v>2.4</v>
      </c>
      <c r="B70" s="95"/>
    </row>
    <row r="71" spans="1:2">
      <c r="A71" s="102">
        <v>2.6</v>
      </c>
      <c r="B71" s="95"/>
    </row>
    <row r="72" spans="1:2">
      <c r="A72" s="102">
        <v>2.8</v>
      </c>
      <c r="B72" s="95"/>
    </row>
    <row r="73" spans="1:2">
      <c r="A73" s="102">
        <v>3</v>
      </c>
      <c r="B73" s="98"/>
    </row>
    <row r="74" spans="1:2" ht="39" customHeight="1"/>
    <row r="75" spans="1:2" s="93" customFormat="1" ht="24.95" customHeight="1">
      <c r="A75" s="91" t="s">
        <v>113</v>
      </c>
      <c r="B75" s="92" t="s">
        <v>142</v>
      </c>
    </row>
    <row r="76" spans="1:2">
      <c r="A76" s="102">
        <v>0</v>
      </c>
      <c r="B76" s="95"/>
    </row>
    <row r="77" spans="1:2">
      <c r="A77" s="102">
        <v>1</v>
      </c>
      <c r="B77" s="95"/>
    </row>
    <row r="78" spans="1:2">
      <c r="A78" s="102">
        <v>2</v>
      </c>
      <c r="B78" s="95"/>
    </row>
    <row r="79" spans="1:2">
      <c r="A79" s="102">
        <v>3</v>
      </c>
      <c r="B79" s="95"/>
    </row>
    <row r="80" spans="1:2">
      <c r="A80" s="102">
        <v>4</v>
      </c>
      <c r="B80" s="95"/>
    </row>
    <row r="81" spans="1:2">
      <c r="A81" s="102">
        <v>5</v>
      </c>
      <c r="B81" s="95"/>
    </row>
    <row r="82" spans="1:2">
      <c r="A82" s="102">
        <v>6</v>
      </c>
      <c r="B82" s="95"/>
    </row>
    <row r="83" spans="1:2">
      <c r="A83" s="102">
        <v>7</v>
      </c>
      <c r="B83" s="95"/>
    </row>
    <row r="84" spans="1:2">
      <c r="A84" s="102">
        <v>8</v>
      </c>
      <c r="B84" s="97"/>
    </row>
    <row r="85" spans="1:2">
      <c r="A85" s="102">
        <v>9</v>
      </c>
      <c r="B85" s="95"/>
    </row>
    <row r="86" spans="1:2">
      <c r="A86" s="102">
        <v>10</v>
      </c>
      <c r="B86" s="95"/>
    </row>
    <row r="87" spans="1:2">
      <c r="A87" s="102">
        <v>11</v>
      </c>
      <c r="B87" s="95"/>
    </row>
    <row r="88" spans="1:2">
      <c r="A88" s="102">
        <v>12</v>
      </c>
      <c r="B88" s="95"/>
    </row>
    <row r="89" spans="1:2">
      <c r="A89" s="102">
        <v>13</v>
      </c>
      <c r="B89" s="95"/>
    </row>
    <row r="90" spans="1:2">
      <c r="A90" s="102">
        <v>14</v>
      </c>
      <c r="B90" s="103" t="s">
        <v>137</v>
      </c>
    </row>
    <row r="91" spans="1:2">
      <c r="A91" s="102">
        <v>15</v>
      </c>
      <c r="B91" s="95"/>
    </row>
    <row r="92" spans="1:2">
      <c r="A92" s="102">
        <v>16</v>
      </c>
      <c r="B92" s="95"/>
    </row>
    <row r="93" spans="1:2">
      <c r="A93" s="102">
        <v>17</v>
      </c>
      <c r="B93" s="95"/>
    </row>
    <row r="94" spans="1:2">
      <c r="A94" s="102">
        <v>18</v>
      </c>
      <c r="B94" s="95"/>
    </row>
    <row r="95" spans="1:2">
      <c r="A95" s="102">
        <v>19</v>
      </c>
      <c r="B95" s="95"/>
    </row>
    <row r="96" spans="1:2">
      <c r="A96" s="102">
        <v>20</v>
      </c>
      <c r="B96" s="95"/>
    </row>
    <row r="97" spans="1:2">
      <c r="A97" s="102">
        <v>21</v>
      </c>
      <c r="B97" s="95"/>
    </row>
    <row r="98" spans="1:2">
      <c r="A98" s="102">
        <v>22</v>
      </c>
      <c r="B98" s="95"/>
    </row>
    <row r="99" spans="1:2">
      <c r="A99" s="102">
        <v>23</v>
      </c>
      <c r="B99" s="95"/>
    </row>
    <row r="100" spans="1:2">
      <c r="A100" s="102">
        <v>24</v>
      </c>
      <c r="B100" s="95"/>
    </row>
    <row r="101" spans="1:2">
      <c r="A101" s="102">
        <v>25</v>
      </c>
      <c r="B101" s="95"/>
    </row>
    <row r="102" spans="1:2">
      <c r="A102" s="102">
        <v>26</v>
      </c>
      <c r="B102" s="95"/>
    </row>
    <row r="103" spans="1:2">
      <c r="A103" s="102">
        <v>27</v>
      </c>
      <c r="B103" s="95"/>
    </row>
    <row r="104" spans="1:2">
      <c r="A104" s="102">
        <v>28</v>
      </c>
      <c r="B104" s="95"/>
    </row>
    <row r="105" spans="1:2">
      <c r="A105" s="102">
        <v>29</v>
      </c>
      <c r="B105" s="95"/>
    </row>
    <row r="106" spans="1:2">
      <c r="A106" s="102">
        <v>30</v>
      </c>
      <c r="B106" s="95"/>
    </row>
    <row r="107" spans="1:2" ht="39" customHeight="1"/>
    <row r="108" spans="1:2" s="93" customFormat="1" ht="24.95" customHeight="1">
      <c r="A108" s="91" t="s">
        <v>113</v>
      </c>
      <c r="B108" s="92" t="s">
        <v>118</v>
      </c>
    </row>
    <row r="109" spans="1:2">
      <c r="A109" s="94">
        <v>0</v>
      </c>
      <c r="B109" s="95"/>
    </row>
    <row r="110" spans="1:2">
      <c r="A110" s="94">
        <v>0.28999999999999998</v>
      </c>
      <c r="B110" s="98"/>
    </row>
    <row r="111" spans="1:2" ht="39" customHeight="1"/>
    <row r="112" spans="1:2" s="93" customFormat="1" ht="24.95" customHeight="1">
      <c r="A112" s="91" t="s">
        <v>113</v>
      </c>
      <c r="B112" s="92" t="s">
        <v>140</v>
      </c>
    </row>
    <row r="113" spans="1:2">
      <c r="A113" s="102">
        <v>0</v>
      </c>
      <c r="B113" s="95"/>
    </row>
    <row r="114" spans="1:2">
      <c r="A114" s="102">
        <v>0.5</v>
      </c>
      <c r="B114" s="95"/>
    </row>
    <row r="115" spans="1:2">
      <c r="A115" s="102">
        <v>1</v>
      </c>
      <c r="B115" s="95"/>
    </row>
    <row r="116" spans="1:2">
      <c r="A116" s="102">
        <v>1.5</v>
      </c>
      <c r="B116" s="95"/>
    </row>
    <row r="117" spans="1:2">
      <c r="A117" s="102">
        <v>2</v>
      </c>
      <c r="B117" s="95"/>
    </row>
    <row r="118" spans="1:2">
      <c r="A118" s="102">
        <v>2.5</v>
      </c>
      <c r="B118" s="95"/>
    </row>
    <row r="119" spans="1:2">
      <c r="A119" s="102">
        <v>3</v>
      </c>
      <c r="B119" s="95"/>
    </row>
    <row r="120" spans="1:2">
      <c r="A120" s="102">
        <v>3.5</v>
      </c>
      <c r="B120" s="95"/>
    </row>
    <row r="121" spans="1:2">
      <c r="A121" s="102">
        <v>4</v>
      </c>
      <c r="B121" s="97"/>
    </row>
    <row r="122" spans="1:2">
      <c r="A122" s="102">
        <v>4.5</v>
      </c>
      <c r="B122" s="95"/>
    </row>
    <row r="123" spans="1:2" s="48" customFormat="1">
      <c r="A123" s="104">
        <v>4.6100000000000003</v>
      </c>
      <c r="B123" s="97" t="s">
        <v>139</v>
      </c>
    </row>
    <row r="124" spans="1:2">
      <c r="A124" s="102">
        <v>5</v>
      </c>
      <c r="B124" s="95"/>
    </row>
    <row r="125" spans="1:2">
      <c r="A125" s="102">
        <v>5.5</v>
      </c>
      <c r="B125" s="95"/>
    </row>
    <row r="126" spans="1:2">
      <c r="A126" s="102">
        <v>6</v>
      </c>
      <c r="B126" s="95"/>
    </row>
    <row r="127" spans="1:2">
      <c r="A127" s="102">
        <v>6.5</v>
      </c>
      <c r="B127" s="95"/>
    </row>
    <row r="128" spans="1:2">
      <c r="A128" s="102">
        <v>7</v>
      </c>
      <c r="B128" s="95"/>
    </row>
    <row r="129" spans="1:3">
      <c r="A129" s="102">
        <v>7.5</v>
      </c>
      <c r="B129" s="95"/>
    </row>
    <row r="130" spans="1:3">
      <c r="A130" s="102">
        <v>8</v>
      </c>
      <c r="B130" s="95"/>
    </row>
    <row r="131" spans="1:3">
      <c r="A131" s="102">
        <v>8.5</v>
      </c>
      <c r="B131" s="95"/>
    </row>
    <row r="132" spans="1:3">
      <c r="A132" s="102">
        <v>9</v>
      </c>
      <c r="B132" s="95"/>
    </row>
    <row r="133" spans="1:3">
      <c r="A133" s="102">
        <v>9.5</v>
      </c>
      <c r="B133" s="95"/>
    </row>
    <row r="134" spans="1:3">
      <c r="A134" s="102">
        <v>10</v>
      </c>
      <c r="B134" s="98"/>
    </row>
    <row r="135" spans="1:3" ht="39" customHeight="1"/>
    <row r="136" spans="1:3">
      <c r="A136" s="91" t="s">
        <v>113</v>
      </c>
      <c r="B136" s="92" t="s">
        <v>151</v>
      </c>
      <c r="C136" s="91" t="s">
        <v>113</v>
      </c>
    </row>
    <row r="137" spans="1:3">
      <c r="A137" s="99">
        <v>6</v>
      </c>
      <c r="B137" s="95" t="s">
        <v>210</v>
      </c>
      <c r="C137" s="99">
        <v>6</v>
      </c>
    </row>
    <row r="138" spans="1:3">
      <c r="A138" s="99">
        <v>26</v>
      </c>
      <c r="B138" s="95" t="s">
        <v>211</v>
      </c>
      <c r="C138" s="99">
        <v>26</v>
      </c>
    </row>
    <row r="139" spans="1:3">
      <c r="A139" s="99">
        <v>71</v>
      </c>
      <c r="B139" s="95" t="s">
        <v>212</v>
      </c>
      <c r="C139" s="99">
        <v>71</v>
      </c>
    </row>
    <row r="140" spans="1:3">
      <c r="A140" s="99">
        <v>150</v>
      </c>
      <c r="B140" s="95" t="s">
        <v>213</v>
      </c>
      <c r="C140" s="99">
        <v>150</v>
      </c>
    </row>
  </sheetData>
  <dataValidations count="1">
    <dataValidation type="list" allowBlank="1" showInputMessage="1" showErrorMessage="1" sqref="A2:A12" xr:uid="{BAB86559-E0B9-4AA3-9E6D-5DECAC4490AA}">
      <formula1>$A$2:$A$12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9477-6486-4FDD-929F-AF488BFBAB66}">
  <sheetPr>
    <tabColor rgb="FF0070C0"/>
    <pageSetUpPr fitToPage="1"/>
  </sheetPr>
  <dimension ref="A1:Q21"/>
  <sheetViews>
    <sheetView showGridLines="0" workbookViewId="0">
      <selection activeCell="C11" sqref="C11"/>
    </sheetView>
  </sheetViews>
  <sheetFormatPr baseColWidth="10" defaultRowHeight="15"/>
  <cols>
    <col min="1" max="1" width="22.85546875" style="19" bestFit="1" customWidth="1"/>
    <col min="2" max="3" width="8.85546875" style="19" bestFit="1" customWidth="1"/>
    <col min="4" max="4" width="9.85546875" style="19" bestFit="1" customWidth="1"/>
    <col min="5" max="5" width="8.28515625" style="19" bestFit="1" customWidth="1"/>
    <col min="6" max="6" width="3.5703125" style="19" customWidth="1"/>
    <col min="7" max="7" width="20.5703125" style="19" bestFit="1" customWidth="1"/>
    <col min="8" max="9" width="8.85546875" style="19" bestFit="1" customWidth="1"/>
    <col min="10" max="10" width="9.85546875" style="19" bestFit="1" customWidth="1"/>
    <col min="11" max="11" width="8.28515625" style="19" bestFit="1" customWidth="1"/>
    <col min="12" max="12" width="3.140625" style="19" customWidth="1"/>
    <col min="13" max="13" width="20.5703125" style="19" bestFit="1" customWidth="1"/>
    <col min="14" max="15" width="8.85546875" style="19" bestFit="1" customWidth="1"/>
    <col min="16" max="16" width="9.85546875" style="19" bestFit="1" customWidth="1"/>
    <col min="17" max="17" width="8.28515625" style="19" bestFit="1" customWidth="1"/>
    <col min="18" max="16384" width="11.42578125" style="19"/>
  </cols>
  <sheetData>
    <row r="1" spans="1:17" ht="33.75" customHeight="1">
      <c r="A1" s="105" t="s">
        <v>241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33.75" customHeight="1">
      <c r="A2" s="107"/>
    </row>
    <row r="3" spans="1:17" s="93" customFormat="1" ht="48.75" customHeight="1">
      <c r="A3" s="108" t="s">
        <v>232</v>
      </c>
      <c r="B3" s="19" t="s">
        <v>230</v>
      </c>
      <c r="G3" s="108" t="s">
        <v>233</v>
      </c>
      <c r="H3" s="19" t="s">
        <v>230</v>
      </c>
      <c r="M3" s="108" t="s">
        <v>234</v>
      </c>
      <c r="N3" s="19" t="s">
        <v>230</v>
      </c>
    </row>
    <row r="5" spans="1:17">
      <c r="A5" s="109" t="s">
        <v>236</v>
      </c>
      <c r="B5" s="109" t="s">
        <v>237</v>
      </c>
      <c r="G5" s="109" t="s">
        <v>236</v>
      </c>
      <c r="H5" s="109" t="s">
        <v>237</v>
      </c>
      <c r="M5" s="109" t="s">
        <v>236</v>
      </c>
      <c r="N5" s="109" t="s">
        <v>237</v>
      </c>
    </row>
    <row r="6" spans="1:17" ht="30">
      <c r="A6" s="109" t="s">
        <v>2</v>
      </c>
      <c r="B6" s="110" t="s">
        <v>210</v>
      </c>
      <c r="C6" s="110" t="s">
        <v>211</v>
      </c>
      <c r="D6" s="110" t="s">
        <v>212</v>
      </c>
      <c r="E6" s="110" t="s">
        <v>213</v>
      </c>
      <c r="G6" s="109" t="s">
        <v>2</v>
      </c>
      <c r="H6" s="110" t="s">
        <v>210</v>
      </c>
      <c r="I6" s="110" t="s">
        <v>211</v>
      </c>
      <c r="J6" s="110" t="s">
        <v>212</v>
      </c>
      <c r="K6" s="110" t="s">
        <v>213</v>
      </c>
      <c r="M6" s="109" t="s">
        <v>2</v>
      </c>
      <c r="N6" s="110" t="s">
        <v>210</v>
      </c>
      <c r="O6" s="110" t="s">
        <v>211</v>
      </c>
      <c r="P6" s="110" t="s">
        <v>212</v>
      </c>
      <c r="Q6" s="110" t="s">
        <v>213</v>
      </c>
    </row>
    <row r="7" spans="1:17">
      <c r="A7" s="111" t="s">
        <v>86</v>
      </c>
      <c r="B7" s="112">
        <v>2.2731523109243699</v>
      </c>
      <c r="C7" s="112">
        <v>2.1664438429217836</v>
      </c>
      <c r="D7" s="112">
        <v>2.1354831982088611</v>
      </c>
      <c r="E7" s="112">
        <v>2.0858133753501402</v>
      </c>
      <c r="G7" s="111" t="s">
        <v>86</v>
      </c>
      <c r="H7" s="112">
        <v>2.2731523109243699</v>
      </c>
      <c r="I7" s="112">
        <v>2.1664438429217836</v>
      </c>
      <c r="J7" s="112">
        <v>2.1354831982088611</v>
      </c>
      <c r="K7" s="112">
        <v>2.0858133753501402</v>
      </c>
      <c r="M7" s="111" t="s">
        <v>86</v>
      </c>
      <c r="N7" s="112">
        <v>1.5819439775910364</v>
      </c>
      <c r="O7" s="112">
        <v>1.4752355095884504</v>
      </c>
      <c r="P7" s="112">
        <v>1.4442748648755279</v>
      </c>
      <c r="Q7" s="112">
        <v>1.3946050420168066</v>
      </c>
    </row>
    <row r="8" spans="1:17">
      <c r="A8" s="111" t="s">
        <v>16</v>
      </c>
      <c r="B8" s="112">
        <v>2.2570560000000004</v>
      </c>
      <c r="C8" s="112">
        <v>1.333151208791209</v>
      </c>
      <c r="D8" s="112">
        <v>1.9925217706237426</v>
      </c>
      <c r="E8" s="112">
        <v>1.1715195428571432</v>
      </c>
      <c r="G8" s="111" t="s">
        <v>16</v>
      </c>
      <c r="H8" s="112">
        <v>2.2570560000000004</v>
      </c>
      <c r="I8" s="112">
        <v>1.333151208791209</v>
      </c>
      <c r="J8" s="112">
        <v>1.9925217706237426</v>
      </c>
      <c r="K8" s="112">
        <v>1.1715195428571432</v>
      </c>
      <c r="M8" s="111" t="s">
        <v>0</v>
      </c>
      <c r="N8" s="112">
        <v>1.1752287581699346</v>
      </c>
      <c r="O8" s="112">
        <v>0.94912518853695338</v>
      </c>
      <c r="P8" s="112">
        <v>0.81064530976709925</v>
      </c>
      <c r="Q8" s="112">
        <v>0.77685751633986921</v>
      </c>
    </row>
    <row r="9" spans="1:17">
      <c r="A9" s="111" t="s">
        <v>269</v>
      </c>
      <c r="B9" s="112">
        <v>1</v>
      </c>
      <c r="C9" s="112">
        <v>1</v>
      </c>
      <c r="D9" s="112">
        <v>1</v>
      </c>
      <c r="E9" s="112">
        <v>1</v>
      </c>
      <c r="G9" s="111" t="s">
        <v>0</v>
      </c>
      <c r="H9" s="112">
        <v>1.6418954248366011</v>
      </c>
      <c r="I9" s="112">
        <v>1.2991251885369535</v>
      </c>
      <c r="J9" s="112">
        <v>1.0906453097670994</v>
      </c>
      <c r="K9" s="112">
        <v>0.98685751633986918</v>
      </c>
      <c r="M9" s="111" t="s">
        <v>16</v>
      </c>
      <c r="N9" s="112">
        <v>1.5315737142857146</v>
      </c>
      <c r="O9" s="112">
        <v>1.0541195604395606</v>
      </c>
      <c r="P9" s="112">
        <v>1.3964682494969822</v>
      </c>
      <c r="Q9" s="112">
        <v>0.76847382857142876</v>
      </c>
    </row>
    <row r="10" spans="1:17">
      <c r="A10" s="111" t="s">
        <v>0</v>
      </c>
      <c r="B10" s="112">
        <v>1.6418954248366011</v>
      </c>
      <c r="C10" s="112">
        <v>1.2991251885369535</v>
      </c>
      <c r="D10" s="112">
        <v>1.0906453097670994</v>
      </c>
      <c r="E10" s="112">
        <v>0.98685751633986918</v>
      </c>
      <c r="G10" s="111" t="s">
        <v>3</v>
      </c>
      <c r="H10" s="112">
        <v>0.69034547152194203</v>
      </c>
      <c r="I10" s="112">
        <v>0.61187770660711849</v>
      </c>
      <c r="J10" s="112">
        <v>0.68265305487111616</v>
      </c>
      <c r="K10" s="112">
        <v>0.60664194890077239</v>
      </c>
      <c r="M10" s="111" t="s">
        <v>3</v>
      </c>
      <c r="N10" s="112">
        <v>0.53478991596638648</v>
      </c>
      <c r="O10" s="112">
        <v>0.51902056374997563</v>
      </c>
      <c r="P10" s="112">
        <v>0.54164701865381237</v>
      </c>
      <c r="Q10" s="112">
        <v>0.46242607588489931</v>
      </c>
    </row>
    <row r="11" spans="1:17">
      <c r="A11" s="111" t="s">
        <v>159</v>
      </c>
      <c r="B11" s="112">
        <v>0.9053712325863682</v>
      </c>
      <c r="C11" s="112">
        <v>0.72391151371177842</v>
      </c>
      <c r="D11" s="112">
        <v>0.76884618490019419</v>
      </c>
      <c r="E11" s="112">
        <v>0.65425015003125386</v>
      </c>
      <c r="G11" s="111" t="s">
        <v>159</v>
      </c>
      <c r="H11" s="112">
        <v>0.80537123258636822</v>
      </c>
      <c r="I11" s="112">
        <v>0.62391151371177844</v>
      </c>
      <c r="J11" s="112">
        <v>0.66884618490019421</v>
      </c>
      <c r="K11" s="112">
        <v>0.55425015003125389</v>
      </c>
      <c r="M11" s="111" t="s">
        <v>159</v>
      </c>
      <c r="N11" s="112">
        <v>0.58441804369747907</v>
      </c>
      <c r="O11" s="112">
        <v>0.47738284521361002</v>
      </c>
      <c r="P11" s="112">
        <v>0.49237442135881249</v>
      </c>
      <c r="Q11" s="112">
        <v>0.40428956243442848</v>
      </c>
    </row>
    <row r="12" spans="1:17">
      <c r="A12" s="111" t="s">
        <v>3</v>
      </c>
      <c r="B12" s="112">
        <v>0.69034547152194203</v>
      </c>
      <c r="C12" s="112">
        <v>0.61187770660711849</v>
      </c>
      <c r="D12" s="112">
        <v>0.68265305487111616</v>
      </c>
      <c r="E12" s="112">
        <v>0.60664194890077239</v>
      </c>
      <c r="G12" s="111" t="s">
        <v>117</v>
      </c>
      <c r="H12" s="112">
        <v>0.34081633986928095</v>
      </c>
      <c r="I12" s="112">
        <v>0.35585070028011201</v>
      </c>
      <c r="J12" s="112">
        <v>0.28442516800147288</v>
      </c>
      <c r="K12" s="112">
        <v>0.26511344164332395</v>
      </c>
      <c r="M12" s="111" t="s">
        <v>117</v>
      </c>
      <c r="N12" s="112">
        <v>0.34081633986928095</v>
      </c>
      <c r="O12" s="112">
        <v>0.35585070028011201</v>
      </c>
      <c r="P12" s="112">
        <v>0.28442516800147288</v>
      </c>
      <c r="Q12" s="112">
        <v>0.26511344164332395</v>
      </c>
    </row>
    <row r="13" spans="1:17">
      <c r="A13" s="111" t="s">
        <v>117</v>
      </c>
      <c r="B13" s="112">
        <v>0.34081633986928095</v>
      </c>
      <c r="C13" s="112">
        <v>0.35585070028011201</v>
      </c>
      <c r="D13" s="112">
        <v>0.28442516800147288</v>
      </c>
      <c r="E13" s="112">
        <v>0.26511344164332395</v>
      </c>
      <c r="G13" s="111" t="s">
        <v>48</v>
      </c>
      <c r="H13" s="112">
        <v>0.15532773109243697</v>
      </c>
      <c r="I13" s="112">
        <v>0.13707308338720103</v>
      </c>
      <c r="J13" s="112">
        <v>0.1506337033968517</v>
      </c>
      <c r="K13" s="112">
        <v>0.13306638655462183</v>
      </c>
      <c r="M13" s="111" t="s">
        <v>89</v>
      </c>
      <c r="N13" s="112">
        <v>0</v>
      </c>
      <c r="O13" s="112">
        <v>0</v>
      </c>
      <c r="P13" s="112">
        <v>0.15593561368209252</v>
      </c>
      <c r="Q13" s="112">
        <v>0.10952380952380954</v>
      </c>
    </row>
    <row r="14" spans="1:17">
      <c r="A14" s="111" t="s">
        <v>48</v>
      </c>
      <c r="B14" s="112">
        <v>0.15532773109243697</v>
      </c>
      <c r="C14" s="112">
        <v>0.13707308338720103</v>
      </c>
      <c r="D14" s="112">
        <v>0.1506337033968517</v>
      </c>
      <c r="E14" s="112">
        <v>0.13306638655462183</v>
      </c>
      <c r="G14" s="111" t="s">
        <v>89</v>
      </c>
      <c r="H14" s="112">
        <v>0</v>
      </c>
      <c r="I14" s="112">
        <v>0</v>
      </c>
      <c r="J14" s="112">
        <v>0.15593561368209252</v>
      </c>
      <c r="K14" s="112">
        <v>0.10952380952380954</v>
      </c>
      <c r="M14" s="111" t="s">
        <v>48</v>
      </c>
      <c r="N14" s="112">
        <v>0.12032773109243697</v>
      </c>
      <c r="O14" s="112">
        <v>0.1161802262443439</v>
      </c>
      <c r="P14" s="112">
        <v>0.11890734524795835</v>
      </c>
      <c r="Q14" s="112">
        <v>0.10061781512605042</v>
      </c>
    </row>
    <row r="15" spans="1:17">
      <c r="A15" s="111" t="s">
        <v>89</v>
      </c>
      <c r="B15" s="112">
        <v>0</v>
      </c>
      <c r="C15" s="112">
        <v>0</v>
      </c>
      <c r="D15" s="112">
        <v>0.15593561368209252</v>
      </c>
      <c r="E15" s="112">
        <v>0.10952380952380954</v>
      </c>
      <c r="G15" s="111" t="s">
        <v>176</v>
      </c>
      <c r="H15" s="112">
        <v>0.39547619047619054</v>
      </c>
      <c r="I15" s="112">
        <v>0.1215934065934066</v>
      </c>
      <c r="J15" s="112">
        <v>7.4228416768611666E-2</v>
      </c>
      <c r="K15" s="112">
        <v>9.5207383904761911E-2</v>
      </c>
      <c r="M15" s="111" t="s">
        <v>176</v>
      </c>
      <c r="N15" s="112">
        <v>0.2598571428571429</v>
      </c>
      <c r="O15" s="112">
        <v>9.0296703296703293E-2</v>
      </c>
      <c r="P15" s="112">
        <v>4.9505030181086512E-2</v>
      </c>
      <c r="Q15" s="112">
        <v>7.6520000000000005E-2</v>
      </c>
    </row>
    <row r="16" spans="1:17">
      <c r="A16" s="111" t="s">
        <v>176</v>
      </c>
      <c r="B16" s="112">
        <v>0.39547619047619054</v>
      </c>
      <c r="C16" s="112">
        <v>0.1215934065934066</v>
      </c>
      <c r="D16" s="112">
        <v>7.4228416768611666E-2</v>
      </c>
      <c r="E16" s="112">
        <v>9.5207383904761911E-2</v>
      </c>
      <c r="G16" s="111" t="s">
        <v>8</v>
      </c>
      <c r="H16" s="112">
        <v>9.0119047619047626E-2</v>
      </c>
      <c r="I16" s="112">
        <v>0.13976923076923076</v>
      </c>
      <c r="J16" s="112">
        <v>7.8293762575452702E-2</v>
      </c>
      <c r="K16" s="112">
        <v>5.3815238095238097E-2</v>
      </c>
      <c r="M16" s="111" t="s">
        <v>8</v>
      </c>
      <c r="N16" s="112">
        <v>9.0119047619047626E-2</v>
      </c>
      <c r="O16" s="112">
        <v>0.13976923076923076</v>
      </c>
      <c r="P16" s="112">
        <v>7.8293762575452702E-2</v>
      </c>
      <c r="Q16" s="112">
        <v>5.3815238095238097E-2</v>
      </c>
    </row>
    <row r="17" spans="1:17">
      <c r="A17" s="111" t="s">
        <v>8</v>
      </c>
      <c r="B17" s="112">
        <v>9.0119047619047626E-2</v>
      </c>
      <c r="C17" s="112">
        <v>0.13976923076923076</v>
      </c>
      <c r="D17" s="112">
        <v>7.8293762575452702E-2</v>
      </c>
      <c r="E17" s="112">
        <v>5.3815238095238097E-2</v>
      </c>
      <c r="G17" s="111" t="s">
        <v>185</v>
      </c>
      <c r="H17" s="112">
        <v>2.8571428571428571E-2</v>
      </c>
      <c r="I17" s="112">
        <v>2.7472527472527472E-2</v>
      </c>
      <c r="J17" s="112">
        <v>2.0120724346076459E-2</v>
      </c>
      <c r="K17" s="112">
        <v>1.9047619047619046E-2</v>
      </c>
      <c r="M17" s="111" t="s">
        <v>185</v>
      </c>
      <c r="N17" s="112">
        <v>2.8571428571428571E-2</v>
      </c>
      <c r="O17" s="112">
        <v>2.7472527472527472E-2</v>
      </c>
      <c r="P17" s="112">
        <v>2.0120724346076459E-2</v>
      </c>
      <c r="Q17" s="112">
        <v>1.9047619047619046E-2</v>
      </c>
    </row>
    <row r="18" spans="1:17">
      <c r="A18" s="111" t="s">
        <v>185</v>
      </c>
      <c r="B18" s="112">
        <v>2.8571428571428571E-2</v>
      </c>
      <c r="C18" s="112">
        <v>2.7472527472527472E-2</v>
      </c>
      <c r="D18" s="112">
        <v>2.0120724346076459E-2</v>
      </c>
      <c r="E18" s="112">
        <v>1.9047619047619046E-2</v>
      </c>
      <c r="G18" s="111" t="s">
        <v>47</v>
      </c>
      <c r="H18" s="112">
        <v>2.1666666666666667E-2</v>
      </c>
      <c r="I18" s="112">
        <v>9.9999999999999985E-3</v>
      </c>
      <c r="J18" s="112">
        <v>1.0060362173038229E-2</v>
      </c>
      <c r="K18" s="112">
        <v>9.5238095238095229E-3</v>
      </c>
      <c r="M18" s="111" t="s">
        <v>47</v>
      </c>
      <c r="N18" s="112">
        <v>2.1666666666666667E-2</v>
      </c>
      <c r="O18" s="112">
        <v>9.9999999999999985E-3</v>
      </c>
      <c r="P18" s="112">
        <v>1.0060362173038229E-2</v>
      </c>
      <c r="Q18" s="112">
        <v>9.5238095238095229E-3</v>
      </c>
    </row>
    <row r="19" spans="1:17" ht="15" customHeight="1">
      <c r="A19" s="111" t="s">
        <v>47</v>
      </c>
      <c r="B19" s="112">
        <v>2.1666666666666667E-2</v>
      </c>
      <c r="C19" s="112">
        <v>9.9999999999999985E-3</v>
      </c>
      <c r="D19" s="112">
        <v>1.0060362173038229E-2</v>
      </c>
      <c r="E19" s="112">
        <v>9.5238095238095229E-3</v>
      </c>
      <c r="G19" s="111" t="s">
        <v>20</v>
      </c>
      <c r="H19" s="112">
        <v>0.15928571428571428</v>
      </c>
      <c r="I19" s="112">
        <v>3.6758241758241758E-2</v>
      </c>
      <c r="J19" s="112">
        <v>1.3460764587525152E-2</v>
      </c>
      <c r="K19" s="112">
        <v>6.3714285714285722E-3</v>
      </c>
      <c r="M19" s="111" t="s">
        <v>20</v>
      </c>
      <c r="N19" s="112">
        <v>0.15928571428571428</v>
      </c>
      <c r="O19" s="112">
        <v>3.6758241758241758E-2</v>
      </c>
      <c r="P19" s="112">
        <v>1.3460764587525152E-2</v>
      </c>
      <c r="Q19" s="112">
        <v>6.3714285714285722E-3</v>
      </c>
    </row>
    <row r="20" spans="1:17" ht="15" customHeight="1">
      <c r="A20" s="111" t="s">
        <v>20</v>
      </c>
      <c r="B20" s="112">
        <v>0.15928571428571428</v>
      </c>
      <c r="C20" s="112">
        <v>3.6758241758241758E-2</v>
      </c>
      <c r="D20" s="112">
        <v>1.3460764587525152E-2</v>
      </c>
      <c r="E20" s="112">
        <v>6.3714285714285722E-3</v>
      </c>
      <c r="G20" s="111" t="s">
        <v>235</v>
      </c>
      <c r="H20" s="112">
        <v>8.8590835584500471</v>
      </c>
      <c r="I20" s="112">
        <v>6.8630266508295632</v>
      </c>
      <c r="J20" s="112">
        <v>7.3573080339021359</v>
      </c>
      <c r="K20" s="112">
        <v>6.0967516503437906</v>
      </c>
      <c r="M20" s="111" t="s">
        <v>235</v>
      </c>
      <c r="N20" s="112">
        <v>6.4285984806722691</v>
      </c>
      <c r="O20" s="112">
        <v>5.2512112973497089</v>
      </c>
      <c r="P20" s="112">
        <v>5.4161186349469377</v>
      </c>
      <c r="Q20" s="112">
        <v>4.4471851867787109</v>
      </c>
    </row>
    <row r="21" spans="1:17">
      <c r="A21" s="111" t="s">
        <v>235</v>
      </c>
      <c r="B21" s="112">
        <v>9.9590835584500468</v>
      </c>
      <c r="C21" s="112">
        <v>7.9630266508295628</v>
      </c>
      <c r="D21" s="112">
        <v>8.4573080339021374</v>
      </c>
      <c r="E21" s="112">
        <v>7.1967516503437903</v>
      </c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74" orientation="landscape" r:id="rId4"/>
  <headerFooter>
    <oddFooter>&amp;L&amp;F &amp;A&amp;C&amp;D &amp;T&amp;RLWG/IBI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1346-3A03-4C37-BE0B-416D6D58966B}">
  <sheetPr>
    <tabColor rgb="FF0070C0"/>
    <pageSetUpPr fitToPage="1"/>
  </sheetPr>
  <dimension ref="A1:Q20"/>
  <sheetViews>
    <sheetView showGridLines="0" workbookViewId="0">
      <selection sqref="A1:XFD1048576"/>
    </sheetView>
  </sheetViews>
  <sheetFormatPr baseColWidth="10" defaultRowHeight="15"/>
  <cols>
    <col min="1" max="1" width="34.140625" style="19" bestFit="1" customWidth="1"/>
    <col min="2" max="3" width="8.85546875" style="19" bestFit="1" customWidth="1"/>
    <col min="4" max="4" width="9.85546875" style="19" bestFit="1" customWidth="1"/>
    <col min="5" max="5" width="8.28515625" style="19" bestFit="1" customWidth="1"/>
    <col min="6" max="6" width="3.5703125" style="19" customWidth="1"/>
    <col min="7" max="7" width="34.140625" style="19" bestFit="1" customWidth="1"/>
    <col min="8" max="9" width="8.85546875" style="19" bestFit="1" customWidth="1"/>
    <col min="10" max="10" width="9.85546875" style="19" bestFit="1" customWidth="1"/>
    <col min="11" max="11" width="8.28515625" style="19" bestFit="1" customWidth="1"/>
    <col min="12" max="12" width="3.140625" style="19" customWidth="1"/>
    <col min="13" max="13" width="34.140625" style="19" bestFit="1" customWidth="1"/>
    <col min="14" max="15" width="8.85546875" style="19" bestFit="1" customWidth="1"/>
    <col min="16" max="16" width="9.85546875" style="19" bestFit="1" customWidth="1"/>
    <col min="17" max="17" width="8.28515625" style="19" bestFit="1" customWidth="1"/>
    <col min="18" max="16384" width="11.42578125" style="19"/>
  </cols>
  <sheetData>
    <row r="1" spans="1:17" ht="33.75" customHeight="1">
      <c r="A1" s="105" t="s">
        <v>245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33.75" customHeight="1">
      <c r="A2" s="107"/>
    </row>
    <row r="3" spans="1:17" s="93" customFormat="1" ht="48.75" customHeight="1">
      <c r="A3" s="108" t="s">
        <v>232</v>
      </c>
      <c r="B3" s="19" t="s">
        <v>230</v>
      </c>
      <c r="G3" s="108" t="s">
        <v>233</v>
      </c>
      <c r="H3" s="19" t="s">
        <v>230</v>
      </c>
      <c r="M3" s="108" t="s">
        <v>234</v>
      </c>
      <c r="N3" s="19" t="s">
        <v>230</v>
      </c>
    </row>
    <row r="5" spans="1:17">
      <c r="A5" s="109" t="s">
        <v>236</v>
      </c>
      <c r="B5" s="109" t="s">
        <v>237</v>
      </c>
      <c r="G5" s="109" t="s">
        <v>236</v>
      </c>
      <c r="H5" s="109" t="s">
        <v>237</v>
      </c>
      <c r="M5" s="109" t="s">
        <v>236</v>
      </c>
      <c r="N5" s="109" t="s">
        <v>237</v>
      </c>
    </row>
    <row r="6" spans="1:17" ht="30">
      <c r="A6" s="109" t="s">
        <v>246</v>
      </c>
      <c r="B6" s="110" t="s">
        <v>210</v>
      </c>
      <c r="C6" s="110" t="s">
        <v>211</v>
      </c>
      <c r="D6" s="110" t="s">
        <v>212</v>
      </c>
      <c r="E6" s="110" t="s">
        <v>213</v>
      </c>
      <c r="G6" s="109" t="s">
        <v>246</v>
      </c>
      <c r="H6" s="110" t="s">
        <v>210</v>
      </c>
      <c r="I6" s="110" t="s">
        <v>211</v>
      </c>
      <c r="J6" s="110" t="s">
        <v>212</v>
      </c>
      <c r="K6" s="110" t="s">
        <v>213</v>
      </c>
      <c r="M6" s="109" t="s">
        <v>246</v>
      </c>
      <c r="N6" s="110" t="s">
        <v>210</v>
      </c>
      <c r="O6" s="110" t="s">
        <v>211</v>
      </c>
      <c r="P6" s="110" t="s">
        <v>212</v>
      </c>
      <c r="Q6" s="110" t="s">
        <v>213</v>
      </c>
    </row>
    <row r="7" spans="1:17">
      <c r="A7" s="111" t="s">
        <v>6</v>
      </c>
      <c r="B7" s="112">
        <v>2.999356134453782</v>
      </c>
      <c r="C7" s="112">
        <v>2.8186216583416583</v>
      </c>
      <c r="D7" s="112">
        <v>3.0656459565951861</v>
      </c>
      <c r="E7" s="112">
        <v>2.6142060926916222</v>
      </c>
      <c r="G7" s="111" t="s">
        <v>6</v>
      </c>
      <c r="H7" s="112">
        <v>2.999356134453782</v>
      </c>
      <c r="I7" s="112">
        <v>2.8186216583416583</v>
      </c>
      <c r="J7" s="112">
        <v>3.0656459565951861</v>
      </c>
      <c r="K7" s="112">
        <v>2.6142060926916222</v>
      </c>
      <c r="M7" s="111" t="s">
        <v>6</v>
      </c>
      <c r="N7" s="112">
        <v>2.999356134453782</v>
      </c>
      <c r="O7" s="112">
        <v>2.8186216583416583</v>
      </c>
      <c r="P7" s="112">
        <v>3.0656459565951861</v>
      </c>
      <c r="Q7" s="112">
        <v>2.6142060926916222</v>
      </c>
    </row>
    <row r="8" spans="1:17">
      <c r="A8" s="111" t="s">
        <v>24</v>
      </c>
      <c r="B8" s="112">
        <v>2.2095318888888889</v>
      </c>
      <c r="C8" s="112">
        <v>1.465286684981685</v>
      </c>
      <c r="D8" s="112">
        <v>1.7647176354138161</v>
      </c>
      <c r="E8" s="112">
        <v>1.499605875968254</v>
      </c>
      <c r="G8" s="111" t="s">
        <v>24</v>
      </c>
      <c r="H8" s="112">
        <v>2.2095318888888889</v>
      </c>
      <c r="I8" s="112">
        <v>1.465286684981685</v>
      </c>
      <c r="J8" s="112">
        <v>1.7647176354138161</v>
      </c>
      <c r="K8" s="112">
        <v>1.499605875968254</v>
      </c>
      <c r="M8" s="111" t="s">
        <v>23</v>
      </c>
      <c r="N8" s="112">
        <v>1.4549902222222222</v>
      </c>
      <c r="O8" s="112">
        <v>0.93305454212454231</v>
      </c>
      <c r="P8" s="112">
        <v>0.88036610328638498</v>
      </c>
      <c r="Q8" s="112">
        <v>0.55488265396825387</v>
      </c>
    </row>
    <row r="9" spans="1:17">
      <c r="A9" s="111" t="s">
        <v>12</v>
      </c>
      <c r="B9" s="112">
        <v>1</v>
      </c>
      <c r="C9" s="112">
        <v>1</v>
      </c>
      <c r="D9" s="112">
        <v>1</v>
      </c>
      <c r="E9" s="112">
        <v>1</v>
      </c>
      <c r="G9" s="111" t="s">
        <v>23</v>
      </c>
      <c r="H9" s="112">
        <v>1.4549902222222222</v>
      </c>
      <c r="I9" s="112">
        <v>0.93305454212454231</v>
      </c>
      <c r="J9" s="112">
        <v>0.88036610328638498</v>
      </c>
      <c r="K9" s="112">
        <v>0.55488265396825387</v>
      </c>
      <c r="M9" s="111" t="s">
        <v>159</v>
      </c>
      <c r="N9" s="112">
        <v>0.58441804369747907</v>
      </c>
      <c r="O9" s="112">
        <v>0.47738284521361002</v>
      </c>
      <c r="P9" s="112">
        <v>0.49237442135881249</v>
      </c>
      <c r="Q9" s="112">
        <v>0.40428956243442848</v>
      </c>
    </row>
    <row r="10" spans="1:17">
      <c r="A10" s="111" t="s">
        <v>159</v>
      </c>
      <c r="B10" s="112">
        <v>0.9053712325863682</v>
      </c>
      <c r="C10" s="112">
        <v>0.72391151371177842</v>
      </c>
      <c r="D10" s="112">
        <v>0.76884618490019419</v>
      </c>
      <c r="E10" s="112">
        <v>0.65425015003125386</v>
      </c>
      <c r="G10" s="111" t="s">
        <v>159</v>
      </c>
      <c r="H10" s="112">
        <v>0.80537123258636822</v>
      </c>
      <c r="I10" s="112">
        <v>0.62391151371177844</v>
      </c>
      <c r="J10" s="112">
        <v>0.66884618490019421</v>
      </c>
      <c r="K10" s="112">
        <v>0.55425015003125389</v>
      </c>
      <c r="M10" s="111" t="s">
        <v>4</v>
      </c>
      <c r="N10" s="112">
        <v>0.45001867413632124</v>
      </c>
      <c r="O10" s="112">
        <v>0.37416505063563887</v>
      </c>
      <c r="P10" s="112">
        <v>0.36447617074999011</v>
      </c>
      <c r="Q10" s="112">
        <v>0.33272880485527534</v>
      </c>
    </row>
    <row r="11" spans="1:17">
      <c r="A11" s="111" t="s">
        <v>23</v>
      </c>
      <c r="B11" s="112">
        <v>1.4549902222222222</v>
      </c>
      <c r="C11" s="112">
        <v>0.93305454212454231</v>
      </c>
      <c r="D11" s="112">
        <v>0.88036610328638498</v>
      </c>
      <c r="E11" s="112">
        <v>0.55488265396825387</v>
      </c>
      <c r="G11" s="111" t="s">
        <v>4</v>
      </c>
      <c r="H11" s="112">
        <v>0.45001867413632124</v>
      </c>
      <c r="I11" s="112">
        <v>0.37416505063563887</v>
      </c>
      <c r="J11" s="112">
        <v>0.36447617074999011</v>
      </c>
      <c r="K11" s="112">
        <v>0.33272880485527534</v>
      </c>
      <c r="M11" s="111" t="s">
        <v>11</v>
      </c>
      <c r="N11" s="112">
        <v>0.41878571428571432</v>
      </c>
      <c r="O11" s="112">
        <v>0.31995604395604393</v>
      </c>
      <c r="P11" s="112">
        <v>0.31735814889336011</v>
      </c>
      <c r="Q11" s="112">
        <v>0.26129333333333332</v>
      </c>
    </row>
    <row r="12" spans="1:17">
      <c r="A12" s="111" t="s">
        <v>4</v>
      </c>
      <c r="B12" s="112">
        <v>0.45001867413632124</v>
      </c>
      <c r="C12" s="112">
        <v>0.37416505063563887</v>
      </c>
      <c r="D12" s="112">
        <v>0.36447617074999011</v>
      </c>
      <c r="E12" s="112">
        <v>0.33272880485527534</v>
      </c>
      <c r="G12" s="111" t="s">
        <v>11</v>
      </c>
      <c r="H12" s="112">
        <v>0.41878571428571432</v>
      </c>
      <c r="I12" s="112">
        <v>0.31995604395604393</v>
      </c>
      <c r="J12" s="112">
        <v>0.31735814889336017</v>
      </c>
      <c r="K12" s="112">
        <v>0.26129333333333338</v>
      </c>
      <c r="M12" s="111" t="s">
        <v>53</v>
      </c>
      <c r="N12" s="112">
        <v>0.30372016806722696</v>
      </c>
      <c r="O12" s="112">
        <v>0.25475643180349061</v>
      </c>
      <c r="P12" s="112">
        <v>0.24424391052195529</v>
      </c>
      <c r="Q12" s="112">
        <v>0.2421580728291316</v>
      </c>
    </row>
    <row r="13" spans="1:17">
      <c r="A13" s="111" t="s">
        <v>11</v>
      </c>
      <c r="B13" s="112">
        <v>0.41878571428571432</v>
      </c>
      <c r="C13" s="112">
        <v>0.31995604395604393</v>
      </c>
      <c r="D13" s="112">
        <v>0.31735814889336017</v>
      </c>
      <c r="E13" s="112">
        <v>0.26129333333333338</v>
      </c>
      <c r="G13" s="111" t="s">
        <v>53</v>
      </c>
      <c r="H13" s="112">
        <v>0.30372016806722696</v>
      </c>
      <c r="I13" s="112">
        <v>0.25475643180349061</v>
      </c>
      <c r="J13" s="112">
        <v>0.24424391052195529</v>
      </c>
      <c r="K13" s="112">
        <v>0.2421580728291316</v>
      </c>
      <c r="M13" s="111" t="s">
        <v>22</v>
      </c>
      <c r="N13" s="112">
        <v>0.21730952380952381</v>
      </c>
      <c r="O13" s="112">
        <v>7.3274725274725283E-2</v>
      </c>
      <c r="P13" s="112">
        <v>5.1653923541247482E-2</v>
      </c>
      <c r="Q13" s="112">
        <v>3.7626666666666669E-2</v>
      </c>
    </row>
    <row r="14" spans="1:17">
      <c r="A14" s="111" t="s">
        <v>53</v>
      </c>
      <c r="B14" s="112">
        <v>0.30372016806722696</v>
      </c>
      <c r="C14" s="112">
        <v>0.25475643180349061</v>
      </c>
      <c r="D14" s="112">
        <v>0.24424391052195529</v>
      </c>
      <c r="E14" s="112">
        <v>0.2421580728291316</v>
      </c>
      <c r="G14" s="111" t="s">
        <v>22</v>
      </c>
      <c r="H14" s="112">
        <v>0.21730952380952381</v>
      </c>
      <c r="I14" s="112">
        <v>7.3274725274725283E-2</v>
      </c>
      <c r="J14" s="112">
        <v>5.1653923541247482E-2</v>
      </c>
      <c r="K14" s="112">
        <v>3.7626666666666669E-2</v>
      </c>
      <c r="M14" s="111" t="s">
        <v>235</v>
      </c>
      <c r="N14" s="112">
        <v>6.4285984806722691</v>
      </c>
      <c r="O14" s="112">
        <v>5.2512112973497089</v>
      </c>
      <c r="P14" s="112">
        <v>5.4161186349469368</v>
      </c>
      <c r="Q14" s="112">
        <v>4.4471851867787109</v>
      </c>
    </row>
    <row r="15" spans="1:17">
      <c r="A15" s="111" t="s">
        <v>22</v>
      </c>
      <c r="B15" s="112">
        <v>0.21730952380952381</v>
      </c>
      <c r="C15" s="112">
        <v>7.3274725274725283E-2</v>
      </c>
      <c r="D15" s="112">
        <v>5.1653923541247482E-2</v>
      </c>
      <c r="E15" s="112">
        <v>3.7626666666666669E-2</v>
      </c>
      <c r="G15" s="111" t="s">
        <v>235</v>
      </c>
      <c r="H15" s="112">
        <v>8.8590835584500471</v>
      </c>
      <c r="I15" s="112">
        <v>6.8630266508295623</v>
      </c>
      <c r="J15" s="112">
        <v>7.3573080339021342</v>
      </c>
      <c r="K15" s="112">
        <v>6.0967516503437906</v>
      </c>
    </row>
    <row r="16" spans="1:17">
      <c r="A16" s="111" t="s">
        <v>235</v>
      </c>
      <c r="B16" s="112">
        <v>9.9590835584500486</v>
      </c>
      <c r="C16" s="112">
        <v>7.9630266508295637</v>
      </c>
      <c r="D16" s="112">
        <v>8.4573080339021356</v>
      </c>
      <c r="E16" s="112">
        <v>7.1967516503437921</v>
      </c>
    </row>
    <row r="20" s="19" customFormat="1" ht="29.25" customHeight="1"/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0" orientation="landscape" r:id="rId4"/>
  <headerFooter>
    <oddFooter>&amp;L&amp;F &amp;A&amp;C&amp;D &amp;T&amp;RLWG/IBI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17BA-60B0-4BBF-BC00-AAEAEAD4BC88}">
  <sheetPr>
    <tabColor theme="8" tint="-0.249977111117893"/>
    <pageSetUpPr fitToPage="1"/>
  </sheetPr>
  <dimension ref="A1:Q25"/>
  <sheetViews>
    <sheetView showGridLines="0" workbookViewId="0">
      <selection sqref="A1:XFD1048576"/>
    </sheetView>
  </sheetViews>
  <sheetFormatPr baseColWidth="10" defaultRowHeight="15"/>
  <cols>
    <col min="1" max="1" width="32.85546875" style="19" bestFit="1" customWidth="1"/>
    <col min="2" max="2" width="7.85546875" style="19" bestFit="1" customWidth="1"/>
    <col min="3" max="3" width="8.85546875" style="19" bestFit="1" customWidth="1"/>
    <col min="4" max="4" width="9.85546875" style="19" bestFit="1" customWidth="1"/>
    <col min="5" max="5" width="8.28515625" style="19" bestFit="1" customWidth="1"/>
    <col min="6" max="6" width="3.5703125" style="19" customWidth="1"/>
    <col min="7" max="7" width="32.85546875" style="19" bestFit="1" customWidth="1"/>
    <col min="8" max="9" width="8.85546875" style="19" bestFit="1" customWidth="1"/>
    <col min="10" max="10" width="9.85546875" style="19" bestFit="1" customWidth="1"/>
    <col min="11" max="11" width="8.28515625" style="19" bestFit="1" customWidth="1"/>
    <col min="12" max="12" width="3.140625" style="19" customWidth="1"/>
    <col min="13" max="13" width="32.85546875" style="19" bestFit="1" customWidth="1"/>
    <col min="14" max="15" width="8.85546875" style="19" bestFit="1" customWidth="1"/>
    <col min="16" max="16" width="9.85546875" style="19" bestFit="1" customWidth="1"/>
    <col min="17" max="17" width="8.28515625" style="19" bestFit="1" customWidth="1"/>
    <col min="18" max="16384" width="11.42578125" style="19"/>
  </cols>
  <sheetData>
    <row r="1" spans="1:17" ht="33.75" customHeight="1">
      <c r="A1" s="105" t="s">
        <v>242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33.75" customHeight="1">
      <c r="A2" s="107"/>
    </row>
    <row r="3" spans="1:17" s="93" customFormat="1" ht="48.75" customHeight="1">
      <c r="A3" s="109" t="s">
        <v>232</v>
      </c>
      <c r="B3" s="19" t="s">
        <v>230</v>
      </c>
      <c r="G3" s="108" t="s">
        <v>233</v>
      </c>
      <c r="H3" s="19" t="s">
        <v>230</v>
      </c>
      <c r="M3" s="108" t="s">
        <v>234</v>
      </c>
      <c r="N3" s="19" t="s">
        <v>230</v>
      </c>
    </row>
    <row r="5" spans="1:17">
      <c r="A5" s="109" t="s">
        <v>236</v>
      </c>
      <c r="G5" s="109" t="s">
        <v>236</v>
      </c>
      <c r="H5" s="109" t="s">
        <v>237</v>
      </c>
      <c r="M5" s="109" t="s">
        <v>236</v>
      </c>
      <c r="N5" s="109" t="s">
        <v>237</v>
      </c>
    </row>
    <row r="6" spans="1:17" ht="30">
      <c r="B6" s="110" t="s">
        <v>210</v>
      </c>
      <c r="C6" s="110" t="s">
        <v>211</v>
      </c>
      <c r="D6" s="110" t="s">
        <v>212</v>
      </c>
      <c r="E6" s="110" t="s">
        <v>213</v>
      </c>
      <c r="G6" s="109" t="s">
        <v>2</v>
      </c>
      <c r="H6" s="110" t="s">
        <v>210</v>
      </c>
      <c r="I6" s="110" t="s">
        <v>211</v>
      </c>
      <c r="J6" s="110" t="s">
        <v>212</v>
      </c>
      <c r="K6" s="110" t="s">
        <v>213</v>
      </c>
      <c r="M6" s="109" t="s">
        <v>2</v>
      </c>
      <c r="N6" s="110" t="s">
        <v>210</v>
      </c>
      <c r="O6" s="110" t="s">
        <v>211</v>
      </c>
      <c r="P6" s="110" t="s">
        <v>212</v>
      </c>
      <c r="Q6" s="110" t="s">
        <v>213</v>
      </c>
    </row>
    <row r="7" spans="1:17">
      <c r="A7" s="111" t="s">
        <v>244</v>
      </c>
      <c r="B7" s="112">
        <v>7.0362883903828202</v>
      </c>
      <c r="C7" s="112">
        <v>5.4041212694462404</v>
      </c>
      <c r="D7" s="112">
        <v>5.9384958153029324</v>
      </c>
      <c r="E7" s="112">
        <v>4.7938147006126988</v>
      </c>
      <c r="G7" s="111" t="s">
        <v>244</v>
      </c>
      <c r="H7" s="112">
        <v>5.9362883903828196</v>
      </c>
      <c r="I7" s="112">
        <v>4.3041212694462399</v>
      </c>
      <c r="J7" s="112">
        <v>4.8384958153029318</v>
      </c>
      <c r="K7" s="112">
        <v>3.6938147006126987</v>
      </c>
      <c r="M7" s="111" t="s">
        <v>244</v>
      </c>
      <c r="N7" s="112">
        <v>4.332630693557423</v>
      </c>
      <c r="O7" s="112">
        <v>3.4148109525964236</v>
      </c>
      <c r="P7" s="112">
        <v>3.6132381362685919</v>
      </c>
      <c r="Q7" s="112">
        <v>2.7541439542857145</v>
      </c>
    </row>
    <row r="8" spans="1:17">
      <c r="A8" s="113" t="s">
        <v>16</v>
      </c>
      <c r="B8" s="112">
        <v>2.2570560000000004</v>
      </c>
      <c r="C8" s="112">
        <v>1.333151208791209</v>
      </c>
      <c r="D8" s="112">
        <v>1.9925217706237426</v>
      </c>
      <c r="E8" s="112">
        <v>1.1715195428571432</v>
      </c>
      <c r="G8" s="113" t="s">
        <v>16</v>
      </c>
      <c r="H8" s="112">
        <v>2.2570560000000004</v>
      </c>
      <c r="I8" s="112">
        <v>1.333151208791209</v>
      </c>
      <c r="J8" s="112">
        <v>1.9925217706237426</v>
      </c>
      <c r="K8" s="112">
        <v>1.1715195428571432</v>
      </c>
      <c r="M8" s="113" t="s">
        <v>0</v>
      </c>
      <c r="N8" s="112">
        <v>1.1752287581699346</v>
      </c>
      <c r="O8" s="112">
        <v>0.94912518853695338</v>
      </c>
      <c r="P8" s="112">
        <v>0.81064530976709925</v>
      </c>
      <c r="Q8" s="112">
        <v>0.77685751633986921</v>
      </c>
    </row>
    <row r="9" spans="1:17">
      <c r="A9" s="113" t="s">
        <v>269</v>
      </c>
      <c r="B9" s="112">
        <v>1</v>
      </c>
      <c r="C9" s="112">
        <v>1</v>
      </c>
      <c r="D9" s="112">
        <v>1</v>
      </c>
      <c r="E9" s="112">
        <v>1</v>
      </c>
      <c r="G9" s="113" t="s">
        <v>0</v>
      </c>
      <c r="H9" s="112">
        <v>1.6418954248366011</v>
      </c>
      <c r="I9" s="112">
        <v>1.2991251885369535</v>
      </c>
      <c r="J9" s="112">
        <v>1.0906453097670994</v>
      </c>
      <c r="K9" s="112">
        <v>0.98685751633986918</v>
      </c>
      <c r="M9" s="113" t="s">
        <v>16</v>
      </c>
      <c r="N9" s="112">
        <v>1.5315737142857146</v>
      </c>
      <c r="O9" s="112">
        <v>1.0541195604395606</v>
      </c>
      <c r="P9" s="112">
        <v>1.3964682494969822</v>
      </c>
      <c r="Q9" s="112">
        <v>0.76847382857142876</v>
      </c>
    </row>
    <row r="10" spans="1:17">
      <c r="A10" s="113" t="s">
        <v>0</v>
      </c>
      <c r="B10" s="112">
        <v>1.6418954248366011</v>
      </c>
      <c r="C10" s="112">
        <v>1.2991251885369535</v>
      </c>
      <c r="D10" s="112">
        <v>1.0906453097670994</v>
      </c>
      <c r="E10" s="112">
        <v>0.98685751633986918</v>
      </c>
      <c r="G10" s="113" t="s">
        <v>3</v>
      </c>
      <c r="H10" s="112">
        <v>0.69034547152194203</v>
      </c>
      <c r="I10" s="112">
        <v>0.61187770660711849</v>
      </c>
      <c r="J10" s="112">
        <v>0.68265305487111616</v>
      </c>
      <c r="K10" s="112">
        <v>0.60664194890077239</v>
      </c>
      <c r="M10" s="113" t="s">
        <v>3</v>
      </c>
      <c r="N10" s="112">
        <v>0.53478991596638648</v>
      </c>
      <c r="O10" s="112">
        <v>0.51902056374997563</v>
      </c>
      <c r="P10" s="112">
        <v>0.54164701865381237</v>
      </c>
      <c r="Q10" s="112">
        <v>0.46242607588489931</v>
      </c>
    </row>
    <row r="11" spans="1:17">
      <c r="A11" s="113" t="s">
        <v>159</v>
      </c>
      <c r="B11" s="112">
        <v>0.9053712325863682</v>
      </c>
      <c r="C11" s="112">
        <v>0.72391151371177842</v>
      </c>
      <c r="D11" s="112">
        <v>0.76884618490019419</v>
      </c>
      <c r="E11" s="112">
        <v>0.65425015003125386</v>
      </c>
      <c r="G11" s="113" t="s">
        <v>159</v>
      </c>
      <c r="H11" s="112">
        <v>0.80537123258636822</v>
      </c>
      <c r="I11" s="112">
        <v>0.62391151371177844</v>
      </c>
      <c r="J11" s="112">
        <v>0.66884618490019421</v>
      </c>
      <c r="K11" s="112">
        <v>0.55425015003125389</v>
      </c>
      <c r="M11" s="113" t="s">
        <v>159</v>
      </c>
      <c r="N11" s="112">
        <v>0.58441804369747907</v>
      </c>
      <c r="O11" s="112">
        <v>0.47738284521361002</v>
      </c>
      <c r="P11" s="112">
        <v>0.49237442135881249</v>
      </c>
      <c r="Q11" s="112">
        <v>0.40428956243442848</v>
      </c>
    </row>
    <row r="12" spans="1:17">
      <c r="A12" s="113" t="s">
        <v>3</v>
      </c>
      <c r="B12" s="112">
        <v>0.69034547152194203</v>
      </c>
      <c r="C12" s="112">
        <v>0.61187770660711849</v>
      </c>
      <c r="D12" s="112">
        <v>0.68265305487111616</v>
      </c>
      <c r="E12" s="112">
        <v>0.60664194890077239</v>
      </c>
      <c r="G12" s="113" t="s">
        <v>117</v>
      </c>
      <c r="H12" s="112">
        <v>0.34081633986928095</v>
      </c>
      <c r="I12" s="112">
        <v>0.27524630467571642</v>
      </c>
      <c r="J12" s="112">
        <v>0.23508713983245877</v>
      </c>
      <c r="K12" s="112">
        <v>0.22528867973856206</v>
      </c>
      <c r="M12" s="113" t="s">
        <v>117</v>
      </c>
      <c r="N12" s="112">
        <v>0.34081633986928095</v>
      </c>
      <c r="O12" s="112">
        <v>0.27524630467571642</v>
      </c>
      <c r="P12" s="112">
        <v>0.23508713983245877</v>
      </c>
      <c r="Q12" s="112">
        <v>0.22528867973856206</v>
      </c>
    </row>
    <row r="13" spans="1:17">
      <c r="A13" s="113" t="s">
        <v>117</v>
      </c>
      <c r="B13" s="112">
        <v>0.34081633986928095</v>
      </c>
      <c r="C13" s="112">
        <v>0.27524630467571642</v>
      </c>
      <c r="D13" s="112">
        <v>0.23508713983245877</v>
      </c>
      <c r="E13" s="112">
        <v>0.22528867973856206</v>
      </c>
      <c r="G13" s="113" t="s">
        <v>48</v>
      </c>
      <c r="H13" s="112">
        <v>0.15532773109243697</v>
      </c>
      <c r="I13" s="112">
        <v>0.13707308338720103</v>
      </c>
      <c r="J13" s="112">
        <v>0.1506337033968517</v>
      </c>
      <c r="K13" s="112">
        <v>0.13306638655462183</v>
      </c>
      <c r="M13" s="113" t="s">
        <v>48</v>
      </c>
      <c r="N13" s="112">
        <v>0.12032773109243697</v>
      </c>
      <c r="O13" s="112">
        <v>0.1161802262443439</v>
      </c>
      <c r="P13" s="112">
        <v>0.11890734524795835</v>
      </c>
      <c r="Q13" s="112">
        <v>0.10061781512605042</v>
      </c>
    </row>
    <row r="14" spans="1:17">
      <c r="A14" s="113" t="s">
        <v>48</v>
      </c>
      <c r="B14" s="112">
        <v>0.15532773109243697</v>
      </c>
      <c r="C14" s="112">
        <v>0.13707308338720103</v>
      </c>
      <c r="D14" s="112">
        <v>0.1506337033968517</v>
      </c>
      <c r="E14" s="112">
        <v>0.13306638655462183</v>
      </c>
      <c r="G14" s="113" t="s">
        <v>47</v>
      </c>
      <c r="H14" s="112">
        <v>2.1666666666666667E-2</v>
      </c>
      <c r="I14" s="112">
        <v>9.9999999999999985E-3</v>
      </c>
      <c r="J14" s="112">
        <v>1.0060362173038229E-2</v>
      </c>
      <c r="K14" s="112">
        <v>9.5238095238095229E-3</v>
      </c>
      <c r="M14" s="113" t="s">
        <v>47</v>
      </c>
      <c r="N14" s="112">
        <v>2.1666666666666667E-2</v>
      </c>
      <c r="O14" s="112">
        <v>9.9999999999999985E-3</v>
      </c>
      <c r="P14" s="112">
        <v>1.0060362173038229E-2</v>
      </c>
      <c r="Q14" s="112">
        <v>9.5238095238095229E-3</v>
      </c>
    </row>
    <row r="15" spans="1:17">
      <c r="A15" s="113" t="s">
        <v>47</v>
      </c>
      <c r="B15" s="112">
        <v>2.1666666666666667E-2</v>
      </c>
      <c r="C15" s="112">
        <v>9.9999999999999985E-3</v>
      </c>
      <c r="D15" s="112">
        <v>1.0060362173038229E-2</v>
      </c>
      <c r="E15" s="112">
        <v>9.5238095238095229E-3</v>
      </c>
      <c r="G15" s="113" t="s">
        <v>86</v>
      </c>
      <c r="H15" s="112">
        <v>2.3809523809523812E-2</v>
      </c>
      <c r="I15" s="112">
        <v>1.3736263736263736E-2</v>
      </c>
      <c r="J15" s="112">
        <v>8.0482897384305842E-3</v>
      </c>
      <c r="K15" s="112">
        <v>6.6666666666666671E-3</v>
      </c>
      <c r="M15" s="113" t="s">
        <v>86</v>
      </c>
      <c r="N15" s="112">
        <v>2.3809523809523812E-2</v>
      </c>
      <c r="O15" s="112">
        <v>1.3736263736263736E-2</v>
      </c>
      <c r="P15" s="112">
        <v>8.0482897384305842E-3</v>
      </c>
      <c r="Q15" s="112">
        <v>6.6666666666666671E-3</v>
      </c>
    </row>
    <row r="16" spans="1:17">
      <c r="A16" s="113" t="s">
        <v>86</v>
      </c>
      <c r="B16" s="112">
        <v>2.3809523809523812E-2</v>
      </c>
      <c r="C16" s="112">
        <v>1.3736263736263736E-2</v>
      </c>
      <c r="D16" s="112">
        <v>8.0482897384305842E-3</v>
      </c>
      <c r="E16" s="112">
        <v>6.6666666666666671E-3</v>
      </c>
      <c r="G16" s="111" t="s">
        <v>243</v>
      </c>
      <c r="H16" s="112">
        <v>2.9227951680672271</v>
      </c>
      <c r="I16" s="112">
        <v>2.558905381383322</v>
      </c>
      <c r="J16" s="112">
        <v>2.5188122185992028</v>
      </c>
      <c r="K16" s="112">
        <v>2.402936949731092</v>
      </c>
      <c r="M16" s="111" t="s">
        <v>243</v>
      </c>
      <c r="N16" s="112">
        <v>2.0959677871148457</v>
      </c>
      <c r="O16" s="112">
        <v>1.8364003447532853</v>
      </c>
      <c r="P16" s="112">
        <v>1.8028804986783447</v>
      </c>
      <c r="Q16" s="112">
        <v>1.6930412324929971</v>
      </c>
    </row>
    <row r="17" spans="1:17">
      <c r="A17" s="111" t="s">
        <v>243</v>
      </c>
      <c r="B17" s="112">
        <v>2.9227951680672271</v>
      </c>
      <c r="C17" s="112">
        <v>2.558905381383322</v>
      </c>
      <c r="D17" s="112">
        <v>2.5188122185992028</v>
      </c>
      <c r="E17" s="112">
        <v>2.402936949731092</v>
      </c>
      <c r="G17" s="113" t="s">
        <v>86</v>
      </c>
      <c r="H17" s="112">
        <v>2.2493427871148461</v>
      </c>
      <c r="I17" s="112">
        <v>2.1527075791855199</v>
      </c>
      <c r="J17" s="112">
        <v>2.1274349084704305</v>
      </c>
      <c r="K17" s="112">
        <v>2.0791467086834734</v>
      </c>
      <c r="M17" s="113" t="s">
        <v>86</v>
      </c>
      <c r="N17" s="112">
        <v>1.5581344537815127</v>
      </c>
      <c r="O17" s="112">
        <v>1.4614992458521867</v>
      </c>
      <c r="P17" s="112">
        <v>1.4362265751370973</v>
      </c>
      <c r="Q17" s="112">
        <v>1.38793837535014</v>
      </c>
    </row>
    <row r="18" spans="1:17">
      <c r="A18" s="113" t="s">
        <v>86</v>
      </c>
      <c r="B18" s="112">
        <v>2.2493427871148461</v>
      </c>
      <c r="C18" s="112">
        <v>2.1527075791855199</v>
      </c>
      <c r="D18" s="112">
        <v>2.1274349084704305</v>
      </c>
      <c r="E18" s="112">
        <v>2.0791467086834734</v>
      </c>
      <c r="G18" s="113" t="s">
        <v>89</v>
      </c>
      <c r="H18" s="112">
        <v>0</v>
      </c>
      <c r="I18" s="112">
        <v>0</v>
      </c>
      <c r="J18" s="112">
        <v>0.15593561368209252</v>
      </c>
      <c r="K18" s="112">
        <v>0.10952380952380954</v>
      </c>
      <c r="M18" s="113" t="s">
        <v>89</v>
      </c>
      <c r="N18" s="112">
        <v>0</v>
      </c>
      <c r="O18" s="112">
        <v>0</v>
      </c>
      <c r="P18" s="112">
        <v>0.15593561368209252</v>
      </c>
      <c r="Q18" s="112">
        <v>0.10952380952380954</v>
      </c>
    </row>
    <row r="19" spans="1:17" ht="15" customHeight="1">
      <c r="A19" s="113" t="s">
        <v>89</v>
      </c>
      <c r="B19" s="112">
        <v>0</v>
      </c>
      <c r="C19" s="112">
        <v>0</v>
      </c>
      <c r="D19" s="112">
        <v>0.15593561368209252</v>
      </c>
      <c r="E19" s="112">
        <v>0.10952380952380954</v>
      </c>
      <c r="G19" s="113" t="s">
        <v>176</v>
      </c>
      <c r="H19" s="112">
        <v>0.39547619047619054</v>
      </c>
      <c r="I19" s="112">
        <v>0.1215934065934066</v>
      </c>
      <c r="J19" s="112">
        <v>7.4228416768611666E-2</v>
      </c>
      <c r="K19" s="112">
        <v>9.5207383904761911E-2</v>
      </c>
      <c r="M19" s="113" t="s">
        <v>176</v>
      </c>
      <c r="N19" s="112">
        <v>0.2598571428571429</v>
      </c>
      <c r="O19" s="112">
        <v>9.0296703296703293E-2</v>
      </c>
      <c r="P19" s="112">
        <v>4.9505030181086512E-2</v>
      </c>
      <c r="Q19" s="112">
        <v>7.6520000000000005E-2</v>
      </c>
    </row>
    <row r="20" spans="1:17" ht="15" customHeight="1">
      <c r="A20" s="113" t="s">
        <v>176</v>
      </c>
      <c r="B20" s="112">
        <v>0.39547619047619054</v>
      </c>
      <c r="C20" s="112">
        <v>0.1215934065934066</v>
      </c>
      <c r="D20" s="112">
        <v>7.4228416768611666E-2</v>
      </c>
      <c r="E20" s="112">
        <v>9.5207383904761911E-2</v>
      </c>
      <c r="G20" s="113" t="s">
        <v>8</v>
      </c>
      <c r="H20" s="112">
        <v>9.0119047619047626E-2</v>
      </c>
      <c r="I20" s="112">
        <v>0.13976923076923076</v>
      </c>
      <c r="J20" s="112">
        <v>7.8293762575452702E-2</v>
      </c>
      <c r="K20" s="112">
        <v>5.3815238095238097E-2</v>
      </c>
      <c r="M20" s="113" t="s">
        <v>8</v>
      </c>
      <c r="N20" s="112">
        <v>9.0119047619047626E-2</v>
      </c>
      <c r="O20" s="112">
        <v>0.13976923076923076</v>
      </c>
      <c r="P20" s="112">
        <v>7.8293762575452702E-2</v>
      </c>
      <c r="Q20" s="112">
        <v>5.3815238095238097E-2</v>
      </c>
    </row>
    <row r="21" spans="1:17">
      <c r="A21" s="113" t="s">
        <v>8</v>
      </c>
      <c r="B21" s="112">
        <v>9.0119047619047626E-2</v>
      </c>
      <c r="C21" s="112">
        <v>0.13976923076923076</v>
      </c>
      <c r="D21" s="112">
        <v>7.8293762575452702E-2</v>
      </c>
      <c r="E21" s="112">
        <v>5.3815238095238097E-2</v>
      </c>
      <c r="G21" s="113" t="s">
        <v>117</v>
      </c>
      <c r="H21" s="112"/>
      <c r="I21" s="112">
        <v>8.0604395604395598E-2</v>
      </c>
      <c r="J21" s="112">
        <v>4.9338028169014086E-2</v>
      </c>
      <c r="K21" s="112">
        <v>3.9824761904761911E-2</v>
      </c>
      <c r="M21" s="113" t="s">
        <v>117</v>
      </c>
      <c r="N21" s="112"/>
      <c r="O21" s="112">
        <v>8.0604395604395598E-2</v>
      </c>
      <c r="P21" s="112">
        <v>4.9338028169014086E-2</v>
      </c>
      <c r="Q21" s="112">
        <v>3.9824761904761911E-2</v>
      </c>
    </row>
    <row r="22" spans="1:17">
      <c r="A22" s="113" t="s">
        <v>117</v>
      </c>
      <c r="B22" s="112"/>
      <c r="C22" s="112">
        <v>8.0604395604395598E-2</v>
      </c>
      <c r="D22" s="112">
        <v>4.9338028169014086E-2</v>
      </c>
      <c r="E22" s="112">
        <v>3.9824761904761911E-2</v>
      </c>
      <c r="G22" s="113" t="s">
        <v>185</v>
      </c>
      <c r="H22" s="112">
        <v>2.8571428571428571E-2</v>
      </c>
      <c r="I22" s="112">
        <v>2.7472527472527472E-2</v>
      </c>
      <c r="J22" s="112">
        <v>2.0120724346076459E-2</v>
      </c>
      <c r="K22" s="112">
        <v>1.9047619047619046E-2</v>
      </c>
      <c r="M22" s="113" t="s">
        <v>185</v>
      </c>
      <c r="N22" s="112">
        <v>2.8571428571428571E-2</v>
      </c>
      <c r="O22" s="112">
        <v>2.7472527472527472E-2</v>
      </c>
      <c r="P22" s="112">
        <v>2.0120724346076459E-2</v>
      </c>
      <c r="Q22" s="112">
        <v>1.9047619047619046E-2</v>
      </c>
    </row>
    <row r="23" spans="1:17">
      <c r="A23" s="113" t="s">
        <v>185</v>
      </c>
      <c r="B23" s="112">
        <v>2.8571428571428571E-2</v>
      </c>
      <c r="C23" s="112">
        <v>2.7472527472527472E-2</v>
      </c>
      <c r="D23" s="112">
        <v>2.0120724346076459E-2</v>
      </c>
      <c r="E23" s="112">
        <v>1.9047619047619046E-2</v>
      </c>
      <c r="G23" s="113" t="s">
        <v>20</v>
      </c>
      <c r="H23" s="112">
        <v>0.15928571428571428</v>
      </c>
      <c r="I23" s="112">
        <v>3.6758241758241758E-2</v>
      </c>
      <c r="J23" s="112">
        <v>1.3460764587525152E-2</v>
      </c>
      <c r="K23" s="112">
        <v>6.3714285714285722E-3</v>
      </c>
      <c r="M23" s="113" t="s">
        <v>20</v>
      </c>
      <c r="N23" s="112">
        <v>0.15928571428571428</v>
      </c>
      <c r="O23" s="112">
        <v>3.6758241758241758E-2</v>
      </c>
      <c r="P23" s="112">
        <v>1.3460764587525152E-2</v>
      </c>
      <c r="Q23" s="112">
        <v>6.3714285714285722E-3</v>
      </c>
    </row>
    <row r="24" spans="1:17">
      <c r="A24" s="113" t="s">
        <v>20</v>
      </c>
      <c r="B24" s="112">
        <v>0.15928571428571428</v>
      </c>
      <c r="C24" s="112">
        <v>3.6758241758241758E-2</v>
      </c>
      <c r="D24" s="112">
        <v>1.3460764587525152E-2</v>
      </c>
      <c r="E24" s="112">
        <v>6.3714285714285722E-3</v>
      </c>
      <c r="G24" s="111" t="s">
        <v>235</v>
      </c>
      <c r="H24" s="112">
        <v>8.8590835584500471</v>
      </c>
      <c r="I24" s="112">
        <v>6.8630266508295614</v>
      </c>
      <c r="J24" s="112">
        <v>7.3573080339021351</v>
      </c>
      <c r="K24" s="112">
        <v>6.0967516503437915</v>
      </c>
      <c r="M24" s="111" t="s">
        <v>235</v>
      </c>
      <c r="N24" s="112">
        <v>6.42859848067227</v>
      </c>
      <c r="O24" s="112">
        <v>5.2512112973497089</v>
      </c>
      <c r="P24" s="112">
        <v>5.4161186349469377</v>
      </c>
      <c r="Q24" s="112">
        <v>4.4471851867787118</v>
      </c>
    </row>
    <row r="25" spans="1:17">
      <c r="A25" s="111" t="s">
        <v>235</v>
      </c>
      <c r="B25" s="112">
        <v>9.9590835584500486</v>
      </c>
      <c r="C25" s="112">
        <v>7.9630266508295628</v>
      </c>
      <c r="D25" s="112">
        <v>8.4573080339021356</v>
      </c>
      <c r="E25" s="112">
        <v>7.1967516503437903</v>
      </c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1" orientation="landscape" r:id="rId4"/>
  <headerFooter>
    <oddFooter>&amp;L&amp;F &amp;A&amp;C&amp;D &amp;T&amp;RLWG/IBI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33CA-27DE-4DA7-ADE8-B0D82B73A535}">
  <sheetPr>
    <tabColor theme="8" tint="-0.249977111117893"/>
    <pageSetUpPr fitToPage="1"/>
  </sheetPr>
  <dimension ref="A1:Q17"/>
  <sheetViews>
    <sheetView showGridLines="0" workbookViewId="0">
      <selection activeCell="E31" sqref="E31"/>
    </sheetView>
  </sheetViews>
  <sheetFormatPr baseColWidth="10" defaultRowHeight="15"/>
  <cols>
    <col min="1" max="1" width="34.140625" style="19" bestFit="1" customWidth="1"/>
    <col min="2" max="2" width="32.28515625" style="19" bestFit="1" customWidth="1"/>
    <col min="3" max="3" width="8.42578125" style="19" bestFit="1" customWidth="1"/>
    <col min="4" max="4" width="9.42578125" style="19" bestFit="1" customWidth="1"/>
    <col min="5" max="5" width="13" style="19" bestFit="1" customWidth="1"/>
    <col min="6" max="6" width="27.85546875" style="19" bestFit="1" customWidth="1"/>
    <col min="7" max="7" width="8.42578125" style="19" bestFit="1" customWidth="1"/>
    <col min="8" max="8" width="9.42578125" style="19" bestFit="1" customWidth="1"/>
    <col min="9" max="9" width="13" style="19" bestFit="1" customWidth="1"/>
    <col min="10" max="10" width="21" style="19" bestFit="1" customWidth="1"/>
    <col min="11" max="11" width="8.42578125" style="19" bestFit="1" customWidth="1"/>
    <col min="12" max="12" width="9.42578125" style="19" bestFit="1" customWidth="1"/>
    <col min="13" max="13" width="13" style="19" bestFit="1" customWidth="1"/>
    <col min="14" max="14" width="21" style="19" bestFit="1" customWidth="1"/>
    <col min="15" max="15" width="8.42578125" style="19" bestFit="1" customWidth="1"/>
    <col min="16" max="16" width="9.42578125" style="19" bestFit="1" customWidth="1"/>
    <col min="17" max="17" width="13" style="19" bestFit="1" customWidth="1"/>
    <col min="18" max="16384" width="11.42578125" style="19"/>
  </cols>
  <sheetData>
    <row r="1" spans="1:17" ht="33.75" customHeight="1">
      <c r="A1" s="105" t="s">
        <v>251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3" spans="1:17">
      <c r="A3" s="109" t="s">
        <v>232</v>
      </c>
      <c r="B3" s="19" t="s">
        <v>230</v>
      </c>
    </row>
    <row r="5" spans="1:17">
      <c r="B5" s="109" t="s">
        <v>247</v>
      </c>
    </row>
    <row r="6" spans="1:17">
      <c r="B6" s="19" t="s">
        <v>249</v>
      </c>
      <c r="F6" s="89" t="s">
        <v>248</v>
      </c>
      <c r="G6" s="89"/>
      <c r="H6" s="89"/>
      <c r="I6" s="89"/>
    </row>
    <row r="7" spans="1:17" ht="25.5" customHeight="1">
      <c r="A7" s="109" t="s">
        <v>250</v>
      </c>
      <c r="B7" s="90" t="s">
        <v>210</v>
      </c>
      <c r="C7" s="90" t="s">
        <v>211</v>
      </c>
      <c r="D7" s="90" t="s">
        <v>212</v>
      </c>
      <c r="E7" s="90" t="s">
        <v>213</v>
      </c>
      <c r="F7" s="90" t="s">
        <v>210</v>
      </c>
      <c r="G7" s="90" t="s">
        <v>211</v>
      </c>
      <c r="H7" s="90" t="s">
        <v>212</v>
      </c>
      <c r="I7" s="90" t="s">
        <v>213</v>
      </c>
    </row>
    <row r="8" spans="1:17">
      <c r="A8" s="111" t="s">
        <v>6</v>
      </c>
      <c r="B8" s="114">
        <v>367.52941176470591</v>
      </c>
      <c r="C8" s="114">
        <v>360.52054298642537</v>
      </c>
      <c r="D8" s="114">
        <v>375.60516984258498</v>
      </c>
      <c r="E8" s="114">
        <v>370.76980392156867</v>
      </c>
      <c r="F8" s="115">
        <v>2.5996732026143787</v>
      </c>
      <c r="G8" s="115">
        <v>2.3453996983408754</v>
      </c>
      <c r="H8" s="115">
        <v>2.2870753935376964</v>
      </c>
      <c r="I8" s="115">
        <v>2.2785620915032681</v>
      </c>
    </row>
    <row r="9" spans="1:17">
      <c r="A9" s="111" t="s">
        <v>24</v>
      </c>
      <c r="B9" s="114">
        <v>163.33333333333334</v>
      </c>
      <c r="C9" s="114">
        <v>97.5</v>
      </c>
      <c r="D9" s="114">
        <v>148.05633802816902</v>
      </c>
      <c r="E9" s="114">
        <v>151.42666666666668</v>
      </c>
      <c r="F9" s="115">
        <v>2.3333333333333335</v>
      </c>
      <c r="G9" s="115">
        <v>1.75</v>
      </c>
      <c r="H9" s="115">
        <v>1.4000000000000001</v>
      </c>
      <c r="I9" s="115">
        <v>1.05</v>
      </c>
    </row>
    <row r="10" spans="1:17">
      <c r="A10" s="111" t="s">
        <v>23</v>
      </c>
      <c r="B10" s="114">
        <v>127.33333333333333</v>
      </c>
      <c r="C10" s="114">
        <v>150.88461538461539</v>
      </c>
      <c r="D10" s="114">
        <v>140.77464788732394</v>
      </c>
      <c r="E10" s="114">
        <v>80.546666666666667</v>
      </c>
      <c r="F10" s="115">
        <v>1.6666666666666667</v>
      </c>
      <c r="G10" s="115">
        <v>1.4166666666666667</v>
      </c>
      <c r="H10" s="115">
        <v>0.94444444444444442</v>
      </c>
      <c r="I10" s="115">
        <v>0.83333333333333337</v>
      </c>
    </row>
    <row r="11" spans="1:17">
      <c r="A11" s="111" t="s">
        <v>4</v>
      </c>
      <c r="B11" s="114">
        <v>66.666666666666671</v>
      </c>
      <c r="C11" s="114">
        <v>30.76923076923077</v>
      </c>
      <c r="D11" s="114">
        <v>38.521126760563384</v>
      </c>
      <c r="E11" s="114">
        <v>18.233333333333334</v>
      </c>
      <c r="F11" s="115">
        <v>0.49019607843137247</v>
      </c>
      <c r="G11" s="115">
        <v>0.39215686274509803</v>
      </c>
      <c r="H11" s="115">
        <v>0.29411764705882354</v>
      </c>
      <c r="I11" s="115">
        <v>0.29411764705882348</v>
      </c>
    </row>
    <row r="12" spans="1:17">
      <c r="A12" s="111" t="s">
        <v>53</v>
      </c>
      <c r="B12" s="114">
        <v>0</v>
      </c>
      <c r="C12" s="114">
        <v>0</v>
      </c>
      <c r="D12" s="114">
        <v>0</v>
      </c>
      <c r="E12" s="114">
        <v>0</v>
      </c>
      <c r="F12" s="115">
        <v>0.36960784313725487</v>
      </c>
      <c r="G12" s="115">
        <v>0.36063348416289587</v>
      </c>
      <c r="H12" s="115">
        <v>0.35857497928748966</v>
      </c>
      <c r="I12" s="115">
        <v>0.35827450980392156</v>
      </c>
    </row>
    <row r="13" spans="1:17">
      <c r="A13" s="111" t="s">
        <v>12</v>
      </c>
      <c r="B13" s="114">
        <v>0</v>
      </c>
      <c r="C13" s="114">
        <v>0</v>
      </c>
      <c r="D13" s="114">
        <v>0</v>
      </c>
      <c r="E13" s="114">
        <v>0</v>
      </c>
      <c r="F13" s="115">
        <v>0</v>
      </c>
      <c r="G13" s="115">
        <v>0</v>
      </c>
      <c r="H13" s="115">
        <v>0</v>
      </c>
      <c r="I13" s="115">
        <v>0</v>
      </c>
    </row>
    <row r="14" spans="1:17">
      <c r="A14" s="111" t="s">
        <v>11</v>
      </c>
      <c r="B14" s="114">
        <v>0</v>
      </c>
      <c r="C14" s="114">
        <v>0</v>
      </c>
      <c r="D14" s="114">
        <v>0</v>
      </c>
      <c r="E14" s="114">
        <v>0</v>
      </c>
      <c r="F14" s="115">
        <v>0</v>
      </c>
      <c r="G14" s="115">
        <v>0</v>
      </c>
      <c r="H14" s="115">
        <v>0</v>
      </c>
      <c r="I14" s="115">
        <v>0</v>
      </c>
    </row>
    <row r="15" spans="1:17">
      <c r="A15" s="111" t="s">
        <v>22</v>
      </c>
      <c r="B15" s="114">
        <v>0</v>
      </c>
      <c r="C15" s="114">
        <v>0</v>
      </c>
      <c r="D15" s="114">
        <v>0</v>
      </c>
      <c r="E15" s="114">
        <v>0</v>
      </c>
      <c r="F15" s="115">
        <v>0.75</v>
      </c>
      <c r="G15" s="115">
        <v>0.23076923076923078</v>
      </c>
      <c r="H15" s="115">
        <v>0.16901408450704225</v>
      </c>
      <c r="I15" s="115">
        <v>0.12</v>
      </c>
    </row>
    <row r="16" spans="1:17">
      <c r="A16" s="111" t="s">
        <v>159</v>
      </c>
      <c r="B16" s="114">
        <v>0</v>
      </c>
      <c r="C16" s="114">
        <v>0</v>
      </c>
      <c r="D16" s="114">
        <v>0</v>
      </c>
      <c r="E16" s="114">
        <v>0</v>
      </c>
      <c r="F16" s="115">
        <v>0</v>
      </c>
      <c r="G16" s="115">
        <v>0</v>
      </c>
      <c r="H16" s="115">
        <v>0</v>
      </c>
      <c r="I16" s="115">
        <v>0</v>
      </c>
    </row>
    <row r="17" spans="1:9" ht="41.25" customHeight="1">
      <c r="A17" s="111" t="s">
        <v>57</v>
      </c>
      <c r="B17" s="114">
        <v>724.86274509803923</v>
      </c>
      <c r="C17" s="114">
        <v>639.6743891402715</v>
      </c>
      <c r="D17" s="114">
        <v>702.95728251864136</v>
      </c>
      <c r="E17" s="114">
        <v>620.97647058823532</v>
      </c>
      <c r="F17" s="115">
        <v>8.2094771241830049</v>
      </c>
      <c r="G17" s="115">
        <v>6.4956259426847671</v>
      </c>
      <c r="H17" s="115">
        <v>5.4532265488354961</v>
      </c>
      <c r="I17" s="115">
        <v>4.9342875816993468</v>
      </c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51" orientation="landscape" r:id="rId2"/>
  <headerFooter>
    <oddFooter>&amp;L&amp;F &amp;A&amp;C&amp;D &amp;T&amp;RLWG/IBI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7011-86F6-4683-90F5-43DBF684C847}">
  <sheetPr>
    <pageSetUpPr fitToPage="1"/>
  </sheetPr>
  <dimension ref="A1:Z334"/>
  <sheetViews>
    <sheetView showGridLines="0" workbookViewId="0">
      <pane xSplit="12" ySplit="1" topLeftCell="M296" activePane="bottomRight" state="frozen"/>
      <selection pane="topRight" activeCell="I1" sqref="I1"/>
      <selection pane="bottomLeft" activeCell="A2" sqref="A2"/>
      <selection pane="bottomRight" sqref="A1:XFD1048576"/>
    </sheetView>
  </sheetViews>
  <sheetFormatPr baseColWidth="10" defaultRowHeight="15" outlineLevelCol="1"/>
  <cols>
    <col min="1" max="1" width="11.42578125" style="89"/>
    <col min="2" max="2" width="11.42578125" style="19"/>
    <col min="3" max="3" width="23.85546875" style="18" customWidth="1"/>
    <col min="4" max="6" width="14.140625" style="18" customWidth="1"/>
    <col min="7" max="7" width="13.7109375" style="19" customWidth="1"/>
    <col min="8" max="8" width="24.28515625" style="20" customWidth="1"/>
    <col min="9" max="9" width="17.42578125" style="18" customWidth="1"/>
    <col min="10" max="11" width="16.140625" style="19" customWidth="1" outlineLevel="1"/>
    <col min="12" max="12" width="16.140625" style="19" customWidth="1"/>
    <col min="13" max="14" width="22.7109375" style="19" customWidth="1"/>
    <col min="15" max="15" width="26" style="19" customWidth="1"/>
    <col min="16" max="16" width="20.140625" style="19" customWidth="1"/>
    <col min="17" max="17" width="27.7109375" style="19" bestFit="1" customWidth="1"/>
    <col min="18" max="18" width="16.5703125" style="19" customWidth="1"/>
    <col min="19" max="19" width="10.140625" style="90" bestFit="1" customWidth="1"/>
    <col min="20" max="20" width="14.85546875" style="90" bestFit="1" customWidth="1"/>
    <col min="21" max="21" width="9" style="90" bestFit="1" customWidth="1"/>
    <col min="22" max="22" width="16.28515625" style="90" bestFit="1" customWidth="1"/>
    <col min="23" max="23" width="16.28515625" style="90" customWidth="1"/>
    <col min="24" max="24" width="16.28515625" style="90" bestFit="1" customWidth="1"/>
    <col min="25" max="16384" width="11.42578125" style="19"/>
  </cols>
  <sheetData>
    <row r="1" spans="1:26" s="16" customFormat="1" ht="66" customHeight="1">
      <c r="A1" s="10" t="s">
        <v>83</v>
      </c>
      <c r="B1" s="11" t="s">
        <v>80</v>
      </c>
      <c r="C1" s="11" t="s">
        <v>15</v>
      </c>
      <c r="D1" s="12" t="s">
        <v>232</v>
      </c>
      <c r="E1" s="12" t="s">
        <v>233</v>
      </c>
      <c r="F1" s="12" t="s">
        <v>234</v>
      </c>
      <c r="G1" s="11" t="s">
        <v>81</v>
      </c>
      <c r="H1" s="13" t="s">
        <v>2</v>
      </c>
      <c r="I1" s="11" t="s">
        <v>82</v>
      </c>
      <c r="J1" s="11" t="s">
        <v>13</v>
      </c>
      <c r="K1" s="11" t="s">
        <v>231</v>
      </c>
      <c r="L1" s="14" t="s">
        <v>85</v>
      </c>
      <c r="M1" s="14" t="s">
        <v>93</v>
      </c>
      <c r="N1" s="15" t="s">
        <v>87</v>
      </c>
      <c r="O1" s="15" t="s">
        <v>92</v>
      </c>
      <c r="P1" s="15" t="s">
        <v>88</v>
      </c>
      <c r="Q1" s="15" t="s">
        <v>30</v>
      </c>
      <c r="R1" s="10" t="s">
        <v>31</v>
      </c>
      <c r="S1" s="15" t="s">
        <v>34</v>
      </c>
      <c r="T1" s="15" t="s">
        <v>33</v>
      </c>
      <c r="U1" s="15" t="s">
        <v>35</v>
      </c>
      <c r="V1" s="15" t="s">
        <v>37</v>
      </c>
      <c r="W1" s="15" t="s">
        <v>180</v>
      </c>
      <c r="X1" s="15" t="s">
        <v>109</v>
      </c>
      <c r="Y1" s="15" t="s">
        <v>149</v>
      </c>
      <c r="Z1" s="15" t="s">
        <v>158</v>
      </c>
    </row>
    <row r="2" spans="1:26" ht="15" customHeight="1">
      <c r="A2" s="17">
        <v>1</v>
      </c>
      <c r="B2" s="18" t="s">
        <v>63</v>
      </c>
      <c r="C2" s="18" t="s">
        <v>6</v>
      </c>
      <c r="D2" s="17" t="s">
        <v>230</v>
      </c>
      <c r="E2" s="17" t="s">
        <v>230</v>
      </c>
      <c r="F2" s="17" t="s">
        <v>230</v>
      </c>
      <c r="G2" s="19" t="s">
        <v>84</v>
      </c>
      <c r="H2" s="20" t="s">
        <v>86</v>
      </c>
      <c r="I2" s="18" t="s">
        <v>190</v>
      </c>
      <c r="K2" s="19" t="str">
        <f>_xlfn.XLOOKUP(L2,Values!$A$137:$A$140,Values!$B$137:$B$140)</f>
        <v>1 bis 25</v>
      </c>
      <c r="L2" s="21">
        <v>6</v>
      </c>
      <c r="M2" s="19" t="s">
        <v>5</v>
      </c>
      <c r="N2" s="22">
        <v>2</v>
      </c>
      <c r="Q2" s="23">
        <v>30</v>
      </c>
      <c r="S2" s="24">
        <f>+Q2/N2*L2</f>
        <v>90</v>
      </c>
      <c r="T2" s="25">
        <f>+S2/L2</f>
        <v>15</v>
      </c>
      <c r="U2" s="25">
        <f>+T2/Start!$C$15</f>
        <v>0.42857142857142855</v>
      </c>
      <c r="V2" s="25">
        <f>+U2/1000*Start!$C$18</f>
        <v>0.21428571428571427</v>
      </c>
      <c r="W2" s="25">
        <f>+R2/L2</f>
        <v>0</v>
      </c>
      <c r="X2" s="25" t="str">
        <f>IF(H2="Arbeit",S2/Q2/L2,"")</f>
        <v/>
      </c>
      <c r="Y2" s="25" t="str">
        <f>IF(I2="Strom",T2/Q2/(Start!$C$15),"")</f>
        <v/>
      </c>
      <c r="Z2" s="25" t="str">
        <f>IF(H2="KFZ",U2/Q2,"")</f>
        <v/>
      </c>
    </row>
    <row r="3" spans="1:26" ht="15" customHeight="1">
      <c r="A3" s="17">
        <v>2</v>
      </c>
      <c r="B3" s="18" t="s">
        <v>63</v>
      </c>
      <c r="C3" s="18" t="s">
        <v>6</v>
      </c>
      <c r="D3" s="17" t="s">
        <v>230</v>
      </c>
      <c r="E3" s="17" t="s">
        <v>230</v>
      </c>
      <c r="F3" s="17" t="s">
        <v>230</v>
      </c>
      <c r="G3" s="19" t="s">
        <v>97</v>
      </c>
      <c r="H3" s="20" t="s">
        <v>3</v>
      </c>
      <c r="I3" s="18" t="s">
        <v>29</v>
      </c>
      <c r="J3" s="18" t="s">
        <v>184</v>
      </c>
      <c r="K3" s="19" t="str">
        <f>_xlfn.XLOOKUP(L3,Values!$A$137:$A$140,Values!$B$137:$B$140)</f>
        <v>1 bis 25</v>
      </c>
      <c r="L3" s="21">
        <v>6</v>
      </c>
      <c r="M3" s="19" t="s">
        <v>5</v>
      </c>
      <c r="N3" s="22">
        <v>15</v>
      </c>
      <c r="Q3" s="23">
        <f>200+3*25</f>
        <v>275</v>
      </c>
      <c r="R3" s="26">
        <f>+Q3*L3/(1-Start!$C$16)</f>
        <v>1941.1764705882354</v>
      </c>
      <c r="S3" s="24">
        <f>+R3/N3</f>
        <v>129.41176470588235</v>
      </c>
      <c r="T3" s="25">
        <f t="shared" ref="T3:T35" si="0">+S3/L3</f>
        <v>21.56862745098039</v>
      </c>
      <c r="U3" s="25">
        <f>+T3/Start!$C$15</f>
        <v>0.6162464985994397</v>
      </c>
      <c r="V3" s="25">
        <f>+U3/1000*Start!$C$18</f>
        <v>0.30812324929971985</v>
      </c>
      <c r="W3" s="25">
        <f t="shared" ref="W3:W94" si="1">+R3/L3</f>
        <v>323.52941176470591</v>
      </c>
      <c r="X3" s="25" t="str">
        <f t="shared" ref="X3:X94" si="2">IF(H3="Arbeit",S3/Q3/L3,"")</f>
        <v/>
      </c>
      <c r="Y3" s="25" t="str">
        <f>IF(I3="Strom",T3/Q3/(Start!$C$15),"")</f>
        <v/>
      </c>
      <c r="Z3" s="25" t="str">
        <f t="shared" ref="Z3:Z84" si="3">IF(H3="KFZ",U3/Q3,"")</f>
        <v/>
      </c>
    </row>
    <row r="4" spans="1:26" ht="15" customHeight="1">
      <c r="A4" s="17">
        <v>3</v>
      </c>
      <c r="B4" s="18" t="s">
        <v>63</v>
      </c>
      <c r="C4" s="18" t="s">
        <v>6</v>
      </c>
      <c r="D4" s="17" t="s">
        <v>230</v>
      </c>
      <c r="E4" s="17" t="s">
        <v>230</v>
      </c>
      <c r="F4" s="17" t="s">
        <v>230</v>
      </c>
      <c r="G4" s="19" t="s">
        <v>97</v>
      </c>
      <c r="H4" s="20" t="s">
        <v>3</v>
      </c>
      <c r="I4" s="18" t="s">
        <v>193</v>
      </c>
      <c r="J4" s="18"/>
      <c r="K4" s="19" t="str">
        <f>_xlfn.XLOOKUP(L4,Values!$A$137:$A$140,Values!$B$137:$B$140)</f>
        <v>1 bis 25</v>
      </c>
      <c r="L4" s="21">
        <v>6</v>
      </c>
      <c r="M4" s="19" t="s">
        <v>10</v>
      </c>
      <c r="N4" s="22">
        <v>10</v>
      </c>
      <c r="O4" s="19">
        <v>0</v>
      </c>
      <c r="Q4" s="23">
        <v>800</v>
      </c>
      <c r="R4" s="26">
        <f>+Q4*O4</f>
        <v>0</v>
      </c>
      <c r="S4" s="24">
        <f>+R4/N4</f>
        <v>0</v>
      </c>
      <c r="T4" s="25">
        <f t="shared" si="0"/>
        <v>0</v>
      </c>
      <c r="U4" s="25">
        <f>+T4/Start!$C$15</f>
        <v>0</v>
      </c>
      <c r="V4" s="25">
        <f>+U4/1000*Start!$C$18</f>
        <v>0</v>
      </c>
      <c r="W4" s="25">
        <f t="shared" si="1"/>
        <v>0</v>
      </c>
      <c r="X4" s="25" t="str">
        <f t="shared" si="2"/>
        <v/>
      </c>
      <c r="Y4" s="25" t="str">
        <f>IF(I4="Strom",T4/Q4/(Start!$C$15),"")</f>
        <v/>
      </c>
      <c r="Z4" s="25" t="str">
        <f t="shared" si="3"/>
        <v/>
      </c>
    </row>
    <row r="5" spans="1:26" ht="15" customHeight="1">
      <c r="A5" s="17">
        <v>4</v>
      </c>
      <c r="B5" s="18" t="s">
        <v>63</v>
      </c>
      <c r="C5" s="18" t="s">
        <v>6</v>
      </c>
      <c r="D5" s="17" t="s">
        <v>230</v>
      </c>
      <c r="E5" s="17" t="s">
        <v>230</v>
      </c>
      <c r="F5" s="17" t="s">
        <v>230</v>
      </c>
      <c r="G5" s="19" t="s">
        <v>97</v>
      </c>
      <c r="H5" s="20" t="s">
        <v>3</v>
      </c>
      <c r="I5" s="18" t="s">
        <v>194</v>
      </c>
      <c r="J5" s="18"/>
      <c r="K5" s="19" t="str">
        <f>_xlfn.XLOOKUP(L5,Values!$A$137:$A$140,Values!$B$137:$B$140)</f>
        <v>1 bis 25</v>
      </c>
      <c r="L5" s="21">
        <v>6</v>
      </c>
      <c r="M5" s="19" t="s">
        <v>10</v>
      </c>
      <c r="N5" s="22">
        <v>11</v>
      </c>
      <c r="O5" s="19">
        <v>0</v>
      </c>
      <c r="Q5" s="23">
        <v>0</v>
      </c>
      <c r="R5" s="26">
        <f>+Q5*O5</f>
        <v>0</v>
      </c>
      <c r="S5" s="24">
        <f>+R5/N5</f>
        <v>0</v>
      </c>
      <c r="T5" s="25">
        <f t="shared" ref="T5" si="4">+S5/L5</f>
        <v>0</v>
      </c>
      <c r="U5" s="25">
        <f>+T5/Start!$C$15</f>
        <v>0</v>
      </c>
      <c r="V5" s="25">
        <f>+U5/1000*Start!$C$18</f>
        <v>0</v>
      </c>
      <c r="W5" s="25">
        <f t="shared" ref="W5" si="5">+R5/L5</f>
        <v>0</v>
      </c>
      <c r="X5" s="25" t="str">
        <f t="shared" ref="X5" si="6">IF(H5="Arbeit",S5/Q5/L5,"")</f>
        <v/>
      </c>
      <c r="Y5" s="25" t="str">
        <f>IF(I5="Strom",T5/Q5/(Start!$C$15),"")</f>
        <v/>
      </c>
      <c r="Z5" s="25" t="str">
        <f t="shared" ref="Z5" si="7">IF(H5="KFZ",U5/Q5,"")</f>
        <v/>
      </c>
    </row>
    <row r="6" spans="1:26" ht="15" customHeight="1">
      <c r="A6" s="17">
        <v>5</v>
      </c>
      <c r="B6" s="18" t="s">
        <v>63</v>
      </c>
      <c r="C6" s="18" t="s">
        <v>6</v>
      </c>
      <c r="D6" s="17" t="s">
        <v>230</v>
      </c>
      <c r="E6" s="17" t="s">
        <v>230</v>
      </c>
      <c r="F6" s="17" t="s">
        <v>230</v>
      </c>
      <c r="G6" s="19" t="s">
        <v>97</v>
      </c>
      <c r="H6" s="20" t="s">
        <v>3</v>
      </c>
      <c r="I6" s="20" t="s">
        <v>187</v>
      </c>
      <c r="J6" s="18"/>
      <c r="K6" s="19" t="str">
        <f>_xlfn.XLOOKUP(L6,Values!$A$137:$A$140,Values!$B$137:$B$140)</f>
        <v>1 bis 25</v>
      </c>
      <c r="L6" s="21">
        <v>6</v>
      </c>
      <c r="M6" s="18" t="s">
        <v>5</v>
      </c>
      <c r="N6" s="22">
        <v>15</v>
      </c>
      <c r="O6" s="27">
        <f>Start!$C$16+0.25</f>
        <v>0.4</v>
      </c>
      <c r="Q6" s="28">
        <f>+Q3*0.4</f>
        <v>110</v>
      </c>
      <c r="R6" s="26">
        <f>+Q6*L6*O6</f>
        <v>264</v>
      </c>
      <c r="S6" s="24">
        <f>+R6/N6</f>
        <v>17.600000000000001</v>
      </c>
      <c r="T6" s="25">
        <f t="shared" ref="T6:T7" si="8">+S6/L6</f>
        <v>2.9333333333333336</v>
      </c>
      <c r="U6" s="25">
        <f>+T6/Start!$C$15</f>
        <v>8.380952380952382E-2</v>
      </c>
      <c r="V6" s="25">
        <f>+U6/1000*Start!$C$18</f>
        <v>4.190476190476191E-2</v>
      </c>
      <c r="W6" s="25">
        <f t="shared" ref="W6:W7" si="9">+R6/L6</f>
        <v>44</v>
      </c>
      <c r="X6" s="25" t="str">
        <f t="shared" ref="X6:X7" si="10">IF(H6="Arbeit",S6/Q6/L6,"")</f>
        <v/>
      </c>
      <c r="Y6" s="25" t="str">
        <f>IF(I6="Strom",T6/Q6/(Start!$C$15),"")</f>
        <v/>
      </c>
      <c r="Z6" s="25" t="str">
        <f t="shared" si="3"/>
        <v/>
      </c>
    </row>
    <row r="7" spans="1:26" ht="15" customHeight="1">
      <c r="A7" s="17">
        <v>6</v>
      </c>
      <c r="B7" s="18" t="s">
        <v>63</v>
      </c>
      <c r="C7" s="18" t="s">
        <v>6</v>
      </c>
      <c r="D7" s="17" t="s">
        <v>230</v>
      </c>
      <c r="E7" s="17" t="s">
        <v>230</v>
      </c>
      <c r="F7" s="17" t="s">
        <v>230</v>
      </c>
      <c r="G7" s="19" t="s">
        <v>84</v>
      </c>
      <c r="H7" s="20" t="s">
        <v>86</v>
      </c>
      <c r="I7" s="18" t="s">
        <v>188</v>
      </c>
      <c r="J7" s="19" t="s">
        <v>62</v>
      </c>
      <c r="K7" s="19" t="str">
        <f>_xlfn.XLOOKUP(L7,Values!$A$137:$A$140,Values!$B$137:$B$140)</f>
        <v>1 bis 25</v>
      </c>
      <c r="L7" s="21">
        <v>6</v>
      </c>
      <c r="M7" s="19" t="s">
        <v>5</v>
      </c>
      <c r="N7" s="22">
        <v>1</v>
      </c>
      <c r="O7" s="29">
        <f>2*O6</f>
        <v>0.8</v>
      </c>
      <c r="Q7" s="30">
        <v>1.3</v>
      </c>
      <c r="R7" s="26"/>
      <c r="S7" s="24">
        <f>+(O7*Q7*L7)</f>
        <v>6.24</v>
      </c>
      <c r="T7" s="25">
        <f t="shared" si="8"/>
        <v>1.04</v>
      </c>
      <c r="U7" s="25">
        <f>+T7/Start!$C$15</f>
        <v>2.9714285714285714E-2</v>
      </c>
      <c r="V7" s="25">
        <f>+U7/1000*Start!$C$18</f>
        <v>1.4857142857142857E-2</v>
      </c>
      <c r="W7" s="25">
        <f t="shared" si="9"/>
        <v>0</v>
      </c>
      <c r="X7" s="25" t="str">
        <f t="shared" si="10"/>
        <v/>
      </c>
      <c r="Y7" s="25" t="str">
        <f>IF(I7="Strom",T7/Q7/(Start!$C$15),"")</f>
        <v/>
      </c>
      <c r="Z7" s="25" t="str">
        <f t="shared" si="3"/>
        <v/>
      </c>
    </row>
    <row r="8" spans="1:26" ht="15" customHeight="1">
      <c r="A8" s="17">
        <v>7</v>
      </c>
      <c r="B8" s="18" t="s">
        <v>63</v>
      </c>
      <c r="C8" s="18" t="s">
        <v>6</v>
      </c>
      <c r="D8" s="17" t="s">
        <v>230</v>
      </c>
      <c r="E8" s="17" t="s">
        <v>230</v>
      </c>
      <c r="F8" s="17" t="s">
        <v>230</v>
      </c>
      <c r="G8" s="19" t="s">
        <v>84</v>
      </c>
      <c r="H8" s="20" t="s">
        <v>86</v>
      </c>
      <c r="I8" s="18" t="s">
        <v>189</v>
      </c>
      <c r="K8" s="19" t="str">
        <f>_xlfn.XLOOKUP(L8,Values!$A$137:$A$140,Values!$B$137:$B$140)</f>
        <v>1 bis 25</v>
      </c>
      <c r="L8" s="21">
        <v>6</v>
      </c>
      <c r="M8" s="19" t="s">
        <v>5</v>
      </c>
      <c r="N8" s="22">
        <v>1</v>
      </c>
      <c r="O8" s="19">
        <f>1*O6</f>
        <v>0.4</v>
      </c>
      <c r="Q8" s="28">
        <f>+Q2</f>
        <v>30</v>
      </c>
      <c r="S8" s="24">
        <f>+(O8*Q8*L8)</f>
        <v>72</v>
      </c>
      <c r="T8" s="25">
        <f>+S8/L8</f>
        <v>12</v>
      </c>
      <c r="U8" s="25">
        <f>+T8/Start!$C$15</f>
        <v>0.34285714285714286</v>
      </c>
      <c r="V8" s="25">
        <f>+U8/1000*Start!$C$18</f>
        <v>0.17142857142857143</v>
      </c>
      <c r="W8" s="25">
        <f>+R8/L8</f>
        <v>0</v>
      </c>
      <c r="X8" s="25" t="str">
        <f>IF(H8="Arbeit",S8/Q8/L8,"")</f>
        <v/>
      </c>
      <c r="Y8" s="25" t="str">
        <f>IF(I8="Strom",T8/Q8/(Start!$C$15),"")</f>
        <v/>
      </c>
      <c r="Z8" s="25" t="str">
        <f t="shared" si="3"/>
        <v/>
      </c>
    </row>
    <row r="9" spans="1:26" ht="15" customHeight="1">
      <c r="A9" s="17">
        <v>8</v>
      </c>
      <c r="B9" s="18" t="s">
        <v>63</v>
      </c>
      <c r="C9" s="18" t="s">
        <v>6</v>
      </c>
      <c r="D9" s="17" t="s">
        <v>230</v>
      </c>
      <c r="E9" s="17" t="s">
        <v>230</v>
      </c>
      <c r="F9" s="17" t="s">
        <v>230</v>
      </c>
      <c r="G9" s="19" t="s">
        <v>84</v>
      </c>
      <c r="H9" s="20" t="s">
        <v>86</v>
      </c>
      <c r="I9" s="18" t="s">
        <v>191</v>
      </c>
      <c r="K9" s="19" t="str">
        <f>_xlfn.XLOOKUP(L9,Values!$A$137:$A$140,Values!$B$137:$B$140)</f>
        <v>1 bis 25</v>
      </c>
      <c r="L9" s="21">
        <v>6</v>
      </c>
      <c r="M9" s="19" t="s">
        <v>5</v>
      </c>
      <c r="O9" s="31">
        <f>10*O8</f>
        <v>4</v>
      </c>
      <c r="P9" s="32"/>
      <c r="Q9" s="33">
        <f>+Start!$C$25</f>
        <v>1.8</v>
      </c>
      <c r="S9" s="24">
        <f>+(O9*Q9*L9)</f>
        <v>43.2</v>
      </c>
      <c r="T9" s="25">
        <f t="shared" ref="T9:T10" si="11">+S9/L9</f>
        <v>7.2</v>
      </c>
      <c r="U9" s="25">
        <f>+T9/Start!$C$15</f>
        <v>0.20571428571428571</v>
      </c>
      <c r="V9" s="25">
        <f>+U9/1000*Start!$C$18</f>
        <v>0.10285714285714286</v>
      </c>
      <c r="W9" s="25">
        <f t="shared" ref="W9:W10" si="12">+R9/L9</f>
        <v>0</v>
      </c>
      <c r="X9" s="25" t="str">
        <f t="shared" ref="X9" si="13">IF(H9="Arbeit",S9/Q9/L9,"")</f>
        <v/>
      </c>
      <c r="Y9" s="25" t="str">
        <f>IF(I9="Strom",T9/Q9/(Start!$C$15),"")</f>
        <v/>
      </c>
      <c r="Z9" s="25" t="str">
        <f t="shared" si="3"/>
        <v/>
      </c>
    </row>
    <row r="10" spans="1:26" ht="15" customHeight="1">
      <c r="A10" s="17">
        <v>9</v>
      </c>
      <c r="B10" s="18" t="s">
        <v>63</v>
      </c>
      <c r="C10" s="18" t="s">
        <v>6</v>
      </c>
      <c r="D10" s="17" t="s">
        <v>230</v>
      </c>
      <c r="E10" s="17" t="s">
        <v>230</v>
      </c>
      <c r="F10" s="17" t="s">
        <v>230</v>
      </c>
      <c r="G10" s="19" t="s">
        <v>97</v>
      </c>
      <c r="H10" s="20" t="s">
        <v>0</v>
      </c>
      <c r="I10" s="34" t="s">
        <v>192</v>
      </c>
      <c r="K10" s="19" t="str">
        <f>_xlfn.XLOOKUP(L10,Values!$A$137:$A$140,Values!$B$137:$B$140)</f>
        <v>1 bis 25</v>
      </c>
      <c r="L10" s="21">
        <v>6</v>
      </c>
      <c r="M10" s="19" t="s">
        <v>5</v>
      </c>
      <c r="O10" s="35">
        <f>5*O6</f>
        <v>2</v>
      </c>
      <c r="P10" s="36">
        <v>5</v>
      </c>
      <c r="Q10" s="37">
        <f>+Start!$C$29</f>
        <v>14</v>
      </c>
      <c r="S10" s="24">
        <f>+O10*P10/60*Q10*L10</f>
        <v>13.999999999999998</v>
      </c>
      <c r="T10" s="25">
        <f t="shared" si="11"/>
        <v>2.333333333333333</v>
      </c>
      <c r="U10" s="25">
        <f>+T10/Start!$C$15</f>
        <v>6.6666666666666652E-2</v>
      </c>
      <c r="V10" s="25">
        <f>+U10/1000*Start!$C$18</f>
        <v>3.3333333333333326E-2</v>
      </c>
      <c r="W10" s="25">
        <f t="shared" si="12"/>
        <v>0</v>
      </c>
      <c r="X10" s="25">
        <f>IF(H10="Arbeit",S10/Q10/L10,"")</f>
        <v>0.16666666666666666</v>
      </c>
      <c r="Y10" s="25" t="str">
        <f>IF(I10="Strom",T10/Q10/(Start!$C$15),"")</f>
        <v/>
      </c>
      <c r="Z10" s="25" t="str">
        <f t="shared" si="3"/>
        <v/>
      </c>
    </row>
    <row r="11" spans="1:26" ht="15" customHeight="1">
      <c r="A11" s="17">
        <v>10</v>
      </c>
      <c r="B11" s="18" t="s">
        <v>63</v>
      </c>
      <c r="C11" s="18" t="s">
        <v>6</v>
      </c>
      <c r="D11" s="17" t="s">
        <v>230</v>
      </c>
      <c r="E11" s="17" t="s">
        <v>230</v>
      </c>
      <c r="F11" s="17" t="s">
        <v>230</v>
      </c>
      <c r="G11" s="19" t="s">
        <v>84</v>
      </c>
      <c r="H11" s="20" t="s">
        <v>86</v>
      </c>
      <c r="I11" s="18" t="s">
        <v>54</v>
      </c>
      <c r="J11" s="19" t="s">
        <v>62</v>
      </c>
      <c r="K11" s="19" t="str">
        <f>_xlfn.XLOOKUP(L11,Values!$A$137:$A$140,Values!$B$137:$B$140)</f>
        <v>1 bis 25</v>
      </c>
      <c r="L11" s="21">
        <v>6</v>
      </c>
      <c r="M11" s="19" t="s">
        <v>5</v>
      </c>
      <c r="N11" s="22"/>
      <c r="O11" s="38">
        <v>2</v>
      </c>
      <c r="Q11" s="30">
        <v>1.3</v>
      </c>
      <c r="R11" s="26"/>
      <c r="S11" s="24">
        <f>+(O11*Q11*L11/(1-Start!$C$16))</f>
        <v>18.352941176470591</v>
      </c>
      <c r="T11" s="25">
        <f t="shared" si="0"/>
        <v>3.0588235294117649</v>
      </c>
      <c r="U11" s="25">
        <f>+T11/Start!$C$15</f>
        <v>8.7394957983193286E-2</v>
      </c>
      <c r="V11" s="25">
        <f>+U11/1000*Start!$C$18</f>
        <v>4.3697478991596643E-2</v>
      </c>
      <c r="W11" s="25">
        <f t="shared" si="1"/>
        <v>0</v>
      </c>
      <c r="X11" s="25" t="str">
        <f t="shared" si="2"/>
        <v/>
      </c>
      <c r="Y11" s="25" t="str">
        <f>IF(I11="Strom",T11/Q11/(Start!$C$15),"")</f>
        <v/>
      </c>
      <c r="Z11" s="25" t="str">
        <f t="shared" si="3"/>
        <v/>
      </c>
    </row>
    <row r="12" spans="1:26" ht="15" customHeight="1">
      <c r="A12" s="17">
        <v>11</v>
      </c>
      <c r="B12" s="18" t="s">
        <v>63</v>
      </c>
      <c r="C12" s="18" t="s">
        <v>6</v>
      </c>
      <c r="D12" s="17" t="s">
        <v>230</v>
      </c>
      <c r="E12" s="17" t="s">
        <v>230</v>
      </c>
      <c r="F12" s="17" t="s">
        <v>230</v>
      </c>
      <c r="G12" s="19" t="s">
        <v>84</v>
      </c>
      <c r="H12" s="20" t="s">
        <v>86</v>
      </c>
      <c r="I12" s="18" t="s">
        <v>102</v>
      </c>
      <c r="K12" s="19" t="str">
        <f>_xlfn.XLOOKUP(L12,Values!$A$137:$A$140,Values!$B$137:$B$140)</f>
        <v>1 bis 25</v>
      </c>
      <c r="L12" s="21">
        <v>6</v>
      </c>
      <c r="M12" s="19" t="s">
        <v>10</v>
      </c>
      <c r="N12" s="22">
        <v>10</v>
      </c>
      <c r="Q12" s="23">
        <v>120</v>
      </c>
      <c r="R12" s="39"/>
      <c r="S12" s="24">
        <f>+Q12/N12</f>
        <v>12</v>
      </c>
      <c r="T12" s="25">
        <f t="shared" si="0"/>
        <v>2</v>
      </c>
      <c r="U12" s="25">
        <f>+T12/Start!$C$15</f>
        <v>5.7142857142857141E-2</v>
      </c>
      <c r="V12" s="25">
        <f>+U12/1000*Start!$C$18</f>
        <v>2.8571428571428571E-2</v>
      </c>
      <c r="W12" s="25">
        <f t="shared" si="1"/>
        <v>0</v>
      </c>
      <c r="X12" s="25" t="str">
        <f t="shared" si="2"/>
        <v/>
      </c>
      <c r="Y12" s="25" t="str">
        <f>IF(I12="Strom",T12/Q12/(Start!$C$15),"")</f>
        <v/>
      </c>
      <c r="Z12" s="25" t="str">
        <f t="shared" si="3"/>
        <v/>
      </c>
    </row>
    <row r="13" spans="1:26" ht="15" customHeight="1">
      <c r="A13" s="17">
        <v>12</v>
      </c>
      <c r="B13" s="18" t="s">
        <v>63</v>
      </c>
      <c r="C13" s="18" t="s">
        <v>6</v>
      </c>
      <c r="D13" s="17" t="s">
        <v>230</v>
      </c>
      <c r="E13" s="17" t="s">
        <v>230</v>
      </c>
      <c r="F13" s="17" t="s">
        <v>230</v>
      </c>
      <c r="G13" s="19" t="s">
        <v>84</v>
      </c>
      <c r="H13" s="20" t="s">
        <v>86</v>
      </c>
      <c r="I13" s="18" t="s">
        <v>18</v>
      </c>
      <c r="K13" s="19" t="str">
        <f>_xlfn.XLOOKUP(L13,Values!$A$137:$A$140,Values!$B$137:$B$140)</f>
        <v>1 bis 25</v>
      </c>
      <c r="L13" s="21">
        <v>6</v>
      </c>
      <c r="M13" s="19" t="s">
        <v>10</v>
      </c>
      <c r="N13" s="22">
        <v>5</v>
      </c>
      <c r="Q13" s="23">
        <v>100</v>
      </c>
      <c r="R13" s="39"/>
      <c r="S13" s="24">
        <f>+Q13/N13</f>
        <v>20</v>
      </c>
      <c r="T13" s="25">
        <f t="shared" si="0"/>
        <v>3.3333333333333335</v>
      </c>
      <c r="U13" s="25">
        <f>+T13/Start!$C$15</f>
        <v>9.5238095238095247E-2</v>
      </c>
      <c r="V13" s="25">
        <f>+U13/1000*Start!$C$18</f>
        <v>4.7619047619047623E-2</v>
      </c>
      <c r="W13" s="25">
        <f t="shared" si="1"/>
        <v>0</v>
      </c>
      <c r="X13" s="25" t="str">
        <f t="shared" si="2"/>
        <v/>
      </c>
      <c r="Y13" s="25" t="str">
        <f>IF(I13="Strom",T13/Q13/(Start!$C$15),"")</f>
        <v/>
      </c>
      <c r="Z13" s="25" t="str">
        <f t="shared" si="3"/>
        <v/>
      </c>
    </row>
    <row r="14" spans="1:26" ht="15" customHeight="1">
      <c r="A14" s="17">
        <v>13</v>
      </c>
      <c r="B14" s="18" t="s">
        <v>63</v>
      </c>
      <c r="C14" s="18" t="s">
        <v>6</v>
      </c>
      <c r="D14" s="17" t="s">
        <v>230</v>
      </c>
      <c r="E14" s="17" t="s">
        <v>230</v>
      </c>
      <c r="F14" s="17" t="s">
        <v>230</v>
      </c>
      <c r="G14" s="19" t="s">
        <v>84</v>
      </c>
      <c r="H14" s="20" t="s">
        <v>86</v>
      </c>
      <c r="I14" s="18" t="s">
        <v>14</v>
      </c>
      <c r="J14" s="19" t="s">
        <v>38</v>
      </c>
      <c r="K14" s="19" t="str">
        <f>_xlfn.XLOOKUP(L14,Values!$A$137:$A$140,Values!$B$137:$B$140)</f>
        <v>1 bis 25</v>
      </c>
      <c r="L14" s="21">
        <v>6</v>
      </c>
      <c r="M14" s="19" t="s">
        <v>5</v>
      </c>
      <c r="O14" s="31">
        <f>+Start!$C$26</f>
        <v>15</v>
      </c>
      <c r="P14" s="32"/>
      <c r="Q14" s="33">
        <f>+Start!$C$25</f>
        <v>1.8</v>
      </c>
      <c r="S14" s="24">
        <f>+Start!$C$26*Start!$C$25*L14/(1-Start!$C$16)</f>
        <v>190.58823529411765</v>
      </c>
      <c r="T14" s="25">
        <f t="shared" si="0"/>
        <v>31.764705882352942</v>
      </c>
      <c r="U14" s="25">
        <f>+T14/Start!$C$15</f>
        <v>0.90756302521008403</v>
      </c>
      <c r="V14" s="25">
        <f>+U14/1000*Start!$C$18</f>
        <v>0.45378151260504201</v>
      </c>
      <c r="W14" s="25">
        <f t="shared" si="1"/>
        <v>0</v>
      </c>
      <c r="X14" s="25" t="str">
        <f t="shared" si="2"/>
        <v/>
      </c>
      <c r="Y14" s="25" t="str">
        <f>IF(I14="Strom",T14/Q14/(Start!$C$15),"")</f>
        <v/>
      </c>
      <c r="Z14" s="25" t="str">
        <f t="shared" si="3"/>
        <v/>
      </c>
    </row>
    <row r="15" spans="1:26" ht="15" customHeight="1">
      <c r="A15" s="17">
        <v>14</v>
      </c>
      <c r="B15" s="18" t="s">
        <v>63</v>
      </c>
      <c r="C15" s="18" t="s">
        <v>6</v>
      </c>
      <c r="D15" s="17" t="s">
        <v>230</v>
      </c>
      <c r="E15" s="17" t="s">
        <v>230</v>
      </c>
      <c r="F15" s="17" t="s">
        <v>230</v>
      </c>
      <c r="G15" s="19" t="s">
        <v>97</v>
      </c>
      <c r="H15" s="20" t="s">
        <v>47</v>
      </c>
      <c r="I15" s="18" t="s">
        <v>19</v>
      </c>
      <c r="J15" s="18" t="s">
        <v>153</v>
      </c>
      <c r="K15" s="19" t="str">
        <f>_xlfn.XLOOKUP(L15,Values!$A$137:$A$140,Values!$B$137:$B$140)</f>
        <v>1 bis 25</v>
      </c>
      <c r="L15" s="21">
        <v>6</v>
      </c>
      <c r="M15" s="19" t="s">
        <v>10</v>
      </c>
      <c r="O15" s="40">
        <f>ROUNDUP(L15/20,0)*10</f>
        <v>10</v>
      </c>
      <c r="P15" s="32"/>
      <c r="Q15" s="41">
        <v>0.35</v>
      </c>
      <c r="S15" s="42">
        <f>+Start!$C$13*2*O15*Q15</f>
        <v>7</v>
      </c>
      <c r="T15" s="25">
        <f t="shared" si="0"/>
        <v>1.1666666666666667</v>
      </c>
      <c r="U15" s="25">
        <f>+T15/Start!$C$15</f>
        <v>3.3333333333333333E-2</v>
      </c>
      <c r="V15" s="25">
        <f>+U15/1000*Start!$C$18</f>
        <v>1.6666666666666666E-2</v>
      </c>
      <c r="W15" s="25">
        <f t="shared" si="1"/>
        <v>0</v>
      </c>
      <c r="X15" s="25" t="str">
        <f t="shared" si="2"/>
        <v/>
      </c>
      <c r="Y15" s="25" t="str">
        <f>IF(I15="Strom",T15/Q15/(Start!$C$15),"")</f>
        <v/>
      </c>
      <c r="Z15" s="25">
        <f t="shared" si="3"/>
        <v>9.5238095238095247E-2</v>
      </c>
    </row>
    <row r="16" spans="1:26" ht="15" customHeight="1">
      <c r="A16" s="17">
        <v>15</v>
      </c>
      <c r="B16" s="18" t="s">
        <v>63</v>
      </c>
      <c r="C16" s="18" t="s">
        <v>6</v>
      </c>
      <c r="D16" s="17" t="s">
        <v>230</v>
      </c>
      <c r="E16" s="17" t="s">
        <v>230</v>
      </c>
      <c r="F16" s="17" t="s">
        <v>230</v>
      </c>
      <c r="G16" s="19" t="s">
        <v>97</v>
      </c>
      <c r="H16" s="20" t="s">
        <v>0</v>
      </c>
      <c r="I16" s="34" t="s">
        <v>32</v>
      </c>
      <c r="K16" s="19" t="str">
        <f>_xlfn.XLOOKUP(L16,Values!$A$137:$A$140,Values!$B$137:$B$140)</f>
        <v>1 bis 25</v>
      </c>
      <c r="L16" s="21">
        <v>6</v>
      </c>
      <c r="M16" s="19" t="s">
        <v>5</v>
      </c>
      <c r="O16" s="40">
        <f t="shared" ref="O16:O18" si="14">ROUNDUP(L16/20,0)*10</f>
        <v>10</v>
      </c>
      <c r="P16" s="36">
        <v>10</v>
      </c>
      <c r="Q16" s="37">
        <f>+Start!$C$29</f>
        <v>14</v>
      </c>
      <c r="S16" s="24">
        <f>+O16*P16/60*Q16*L16/(1-Start!$C$16)</f>
        <v>164.70588235294119</v>
      </c>
      <c r="T16" s="25">
        <f t="shared" si="0"/>
        <v>27.450980392156865</v>
      </c>
      <c r="U16" s="25">
        <f>+T16/Start!$C$15</f>
        <v>0.78431372549019618</v>
      </c>
      <c r="V16" s="25">
        <f>+U16/1000*Start!$C$18</f>
        <v>0.39215686274509809</v>
      </c>
      <c r="W16" s="25">
        <f t="shared" si="1"/>
        <v>0</v>
      </c>
      <c r="X16" s="25">
        <f>IF(H16="Arbeit",S16/Q16/L16,"")</f>
        <v>1.9607843137254903</v>
      </c>
      <c r="Y16" s="25" t="str">
        <f>IF(I16="Strom",T16/Q16/(Start!$C$15),"")</f>
        <v/>
      </c>
      <c r="Z16" s="25" t="str">
        <f t="shared" si="3"/>
        <v/>
      </c>
    </row>
    <row r="17" spans="1:26" ht="15" customHeight="1">
      <c r="A17" s="17">
        <v>16</v>
      </c>
      <c r="B17" s="18" t="s">
        <v>63</v>
      </c>
      <c r="C17" s="18" t="s">
        <v>6</v>
      </c>
      <c r="D17" s="17" t="s">
        <v>230</v>
      </c>
      <c r="E17" s="17" t="s">
        <v>230</v>
      </c>
      <c r="F17" s="17" t="s">
        <v>230</v>
      </c>
      <c r="G17" s="19" t="s">
        <v>97</v>
      </c>
      <c r="H17" s="20" t="s">
        <v>0</v>
      </c>
      <c r="I17" s="34" t="s">
        <v>95</v>
      </c>
      <c r="K17" s="19" t="str">
        <f>_xlfn.XLOOKUP(L17,Values!$A$137:$A$140,Values!$B$137:$B$140)</f>
        <v>1 bis 25</v>
      </c>
      <c r="L17" s="21">
        <v>6</v>
      </c>
      <c r="M17" s="19" t="s">
        <v>10</v>
      </c>
      <c r="O17" s="40">
        <f t="shared" si="14"/>
        <v>10</v>
      </c>
      <c r="P17" s="36">
        <v>15</v>
      </c>
      <c r="Q17" s="37">
        <f>+Start!$C$29</f>
        <v>14</v>
      </c>
      <c r="S17" s="24">
        <f>+O17*P17/60*Q17</f>
        <v>35</v>
      </c>
      <c r="T17" s="25">
        <f t="shared" si="0"/>
        <v>5.833333333333333</v>
      </c>
      <c r="U17" s="25">
        <f>+T17/Start!$C$15</f>
        <v>0.16666666666666666</v>
      </c>
      <c r="V17" s="25">
        <f>+U17/1000*Start!$C$18</f>
        <v>8.3333333333333329E-2</v>
      </c>
      <c r="W17" s="25">
        <f t="shared" si="1"/>
        <v>0</v>
      </c>
      <c r="X17" s="25">
        <f t="shared" si="2"/>
        <v>0.41666666666666669</v>
      </c>
      <c r="Y17" s="25" t="str">
        <f>IF(I17="Strom",T17/Q17/(Start!$C$15),"")</f>
        <v/>
      </c>
      <c r="Z17" s="25" t="str">
        <f t="shared" si="3"/>
        <v/>
      </c>
    </row>
    <row r="18" spans="1:26" ht="15" customHeight="1">
      <c r="A18" s="17">
        <v>17</v>
      </c>
      <c r="B18" s="18" t="s">
        <v>63</v>
      </c>
      <c r="C18" s="18" t="s">
        <v>6</v>
      </c>
      <c r="D18" s="17" t="s">
        <v>230</v>
      </c>
      <c r="E18" s="17" t="s">
        <v>230</v>
      </c>
      <c r="F18" s="17" t="s">
        <v>230</v>
      </c>
      <c r="G18" s="19" t="s">
        <v>97</v>
      </c>
      <c r="H18" s="20" t="s">
        <v>0</v>
      </c>
      <c r="I18" s="34" t="s">
        <v>96</v>
      </c>
      <c r="K18" s="19" t="str">
        <f>_xlfn.XLOOKUP(L18,Values!$A$137:$A$140,Values!$B$137:$B$140)</f>
        <v>1 bis 25</v>
      </c>
      <c r="L18" s="21">
        <v>6</v>
      </c>
      <c r="M18" s="19" t="s">
        <v>10</v>
      </c>
      <c r="O18" s="40">
        <f t="shared" si="14"/>
        <v>10</v>
      </c>
      <c r="P18" s="36">
        <f>(+Start!$C$13*2)/60*60</f>
        <v>2</v>
      </c>
      <c r="Q18" s="37">
        <f>+Start!$C$29</f>
        <v>14</v>
      </c>
      <c r="S18" s="24">
        <f>+O18*P18/60*Q18</f>
        <v>4.6666666666666661</v>
      </c>
      <c r="T18" s="25">
        <f t="shared" si="0"/>
        <v>0.77777777777777768</v>
      </c>
      <c r="U18" s="25">
        <f>+T18/Start!$C$15</f>
        <v>2.222222222222222E-2</v>
      </c>
      <c r="V18" s="25">
        <f>+U18/1000*Start!$C$18</f>
        <v>1.111111111111111E-2</v>
      </c>
      <c r="W18" s="25">
        <f t="shared" si="1"/>
        <v>0</v>
      </c>
      <c r="X18" s="25">
        <f t="shared" si="2"/>
        <v>5.5555555555555552E-2</v>
      </c>
      <c r="Y18" s="25" t="str">
        <f>IF(I18="Strom",T18/Q18/(Start!$C$15),"")</f>
        <v/>
      </c>
      <c r="Z18" s="25" t="str">
        <f t="shared" si="3"/>
        <v/>
      </c>
    </row>
    <row r="19" spans="1:26" ht="15" customHeight="1">
      <c r="A19" s="17">
        <v>18</v>
      </c>
      <c r="B19" s="18" t="s">
        <v>63</v>
      </c>
      <c r="C19" s="18" t="s">
        <v>6</v>
      </c>
      <c r="D19" s="17" t="s">
        <v>230</v>
      </c>
      <c r="E19" s="17" t="s">
        <v>230</v>
      </c>
      <c r="F19" s="17" t="s">
        <v>230</v>
      </c>
      <c r="G19" s="19" t="s">
        <v>97</v>
      </c>
      <c r="H19" s="18" t="s">
        <v>117</v>
      </c>
      <c r="I19" s="18" t="s">
        <v>117</v>
      </c>
      <c r="J19" s="19" t="s">
        <v>116</v>
      </c>
      <c r="K19" s="19" t="str">
        <f>_xlfn.XLOOKUP(L19,Values!$A$137:$A$140,Values!$B$137:$B$140)</f>
        <v>1 bis 25</v>
      </c>
      <c r="L19" s="21">
        <v>6</v>
      </c>
      <c r="M19" s="19" t="s">
        <v>10</v>
      </c>
      <c r="O19" s="37"/>
      <c r="P19" s="37"/>
      <c r="Q19" s="43">
        <f>+Start!$C$30</f>
        <v>0.28999999999999998</v>
      </c>
      <c r="S19" s="24">
        <f>(+S16+S17+S18+S10)*Q19</f>
        <v>63.328039215686267</v>
      </c>
      <c r="T19" s="25">
        <f t="shared" ref="T19" si="15">+S19/L19</f>
        <v>10.554673202614378</v>
      </c>
      <c r="U19" s="25">
        <f>+T19/Start!$C$15</f>
        <v>0.30156209150326796</v>
      </c>
      <c r="V19" s="25">
        <f>+U19/1000*Start!$C$18</f>
        <v>0.15078104575163398</v>
      </c>
      <c r="W19" s="25">
        <f t="shared" si="1"/>
        <v>0</v>
      </c>
      <c r="X19" s="25" t="str">
        <f t="shared" si="2"/>
        <v/>
      </c>
      <c r="Y19" s="25" t="str">
        <f>IF(I19="Strom",T19/Q19/(Start!$C$15),"")</f>
        <v/>
      </c>
      <c r="Z19" s="25" t="str">
        <f t="shared" si="3"/>
        <v/>
      </c>
    </row>
    <row r="20" spans="1:26" ht="15" customHeight="1">
      <c r="A20" s="17">
        <v>19</v>
      </c>
      <c r="B20" s="18" t="s">
        <v>63</v>
      </c>
      <c r="C20" s="18" t="s">
        <v>6</v>
      </c>
      <c r="D20" s="17" t="s">
        <v>230</v>
      </c>
      <c r="E20" s="17" t="s">
        <v>230</v>
      </c>
      <c r="F20" s="17" t="s">
        <v>230</v>
      </c>
      <c r="G20" s="19" t="s">
        <v>97</v>
      </c>
      <c r="H20" s="20" t="s">
        <v>16</v>
      </c>
      <c r="I20" s="18" t="s">
        <v>16</v>
      </c>
      <c r="J20" s="19" t="s">
        <v>21</v>
      </c>
      <c r="K20" s="19" t="str">
        <f>_xlfn.XLOOKUP(L20,Values!$A$137:$A$140,Values!$B$137:$B$140)</f>
        <v>1 bis 25</v>
      </c>
      <c r="L20" s="21">
        <v>6</v>
      </c>
      <c r="M20" s="19" t="s">
        <v>10</v>
      </c>
      <c r="N20" s="44">
        <v>1</v>
      </c>
      <c r="O20" s="45">
        <f>1*6</f>
        <v>6</v>
      </c>
      <c r="Q20" s="46">
        <f>+Start!$C$31</f>
        <v>4.6100000000000003</v>
      </c>
      <c r="S20" s="24">
        <f>+O20*Q20*12</f>
        <v>331.92000000000007</v>
      </c>
      <c r="T20" s="25">
        <f t="shared" si="0"/>
        <v>55.320000000000014</v>
      </c>
      <c r="U20" s="25">
        <f>+T20/Start!$C$15</f>
        <v>1.580571428571429</v>
      </c>
      <c r="V20" s="25">
        <f>+U20/1000*Start!$C$18</f>
        <v>0.79028571428571448</v>
      </c>
      <c r="W20" s="25">
        <f t="shared" si="1"/>
        <v>0</v>
      </c>
      <c r="X20" s="25" t="str">
        <f t="shared" si="2"/>
        <v/>
      </c>
      <c r="Y20" s="25" t="str">
        <f>IF(I20="Strom",T20/Q20/(Start!$C$15),"")</f>
        <v/>
      </c>
      <c r="Z20" s="25" t="str">
        <f t="shared" si="3"/>
        <v/>
      </c>
    </row>
    <row r="21" spans="1:26" ht="15" customHeight="1">
      <c r="A21" s="17">
        <v>20</v>
      </c>
      <c r="B21" s="18" t="s">
        <v>63</v>
      </c>
      <c r="C21" s="18" t="s">
        <v>6</v>
      </c>
      <c r="D21" s="17" t="s">
        <v>230</v>
      </c>
      <c r="E21" s="17" t="s">
        <v>230</v>
      </c>
      <c r="F21" s="17" t="s">
        <v>230</v>
      </c>
      <c r="G21" s="19" t="s">
        <v>97</v>
      </c>
      <c r="H21" s="20" t="s">
        <v>16</v>
      </c>
      <c r="I21" s="18" t="s">
        <v>101</v>
      </c>
      <c r="J21" s="19" t="s">
        <v>21</v>
      </c>
      <c r="K21" s="19" t="str">
        <f>_xlfn.XLOOKUP(L21,Values!$A$137:$A$140,Values!$B$137:$B$140)</f>
        <v>1 bis 25</v>
      </c>
      <c r="L21" s="21">
        <v>6</v>
      </c>
      <c r="M21" s="19" t="s">
        <v>10</v>
      </c>
      <c r="N21" s="44">
        <v>1</v>
      </c>
      <c r="O21" s="47">
        <f>+O20</f>
        <v>6</v>
      </c>
      <c r="Q21" s="46">
        <f>+Q20*0.02</f>
        <v>9.2200000000000004E-2</v>
      </c>
      <c r="S21" s="24">
        <f>+O21*Q21*12</f>
        <v>6.6384000000000007</v>
      </c>
      <c r="T21" s="25">
        <f t="shared" si="0"/>
        <v>1.1064000000000001</v>
      </c>
      <c r="U21" s="25">
        <f>+T21/Start!$C$15</f>
        <v>3.1611428571428575E-2</v>
      </c>
      <c r="V21" s="25">
        <f>+U21/1000*Start!$C$18</f>
        <v>1.5805714285714288E-2</v>
      </c>
      <c r="W21" s="25">
        <f t="shared" si="1"/>
        <v>0</v>
      </c>
      <c r="X21" s="25" t="str">
        <f t="shared" si="2"/>
        <v/>
      </c>
      <c r="Y21" s="25" t="str">
        <f>IF(I21="Strom",T21/Q21/(Start!$C$15),"")</f>
        <v/>
      </c>
      <c r="Z21" s="25" t="str">
        <f t="shared" si="3"/>
        <v/>
      </c>
    </row>
    <row r="22" spans="1:26" ht="15" customHeight="1">
      <c r="A22" s="17">
        <v>21</v>
      </c>
      <c r="B22" s="18" t="s">
        <v>63</v>
      </c>
      <c r="C22" s="18" t="s">
        <v>6</v>
      </c>
      <c r="D22" s="17" t="s">
        <v>230</v>
      </c>
      <c r="E22" s="17" t="s">
        <v>230</v>
      </c>
      <c r="F22" s="17" t="s">
        <v>230</v>
      </c>
      <c r="G22" s="19" t="s">
        <v>97</v>
      </c>
      <c r="H22" s="20" t="s">
        <v>48</v>
      </c>
      <c r="I22" s="18" t="s">
        <v>17</v>
      </c>
      <c r="J22" s="19" t="s">
        <v>67</v>
      </c>
      <c r="K22" s="19" t="str">
        <f>_xlfn.XLOOKUP(L22,Values!$A$137:$A$140,Values!$B$137:$B$140)</f>
        <v>1 bis 25</v>
      </c>
      <c r="L22" s="21">
        <v>6</v>
      </c>
      <c r="M22" s="18" t="s">
        <v>10</v>
      </c>
      <c r="N22" s="48"/>
      <c r="O22" s="49">
        <f>SUM(R2:R21)/2</f>
        <v>1102.5882352941176</v>
      </c>
      <c r="P22" s="18"/>
      <c r="Q22" s="50">
        <v>0.03</v>
      </c>
      <c r="S22" s="24">
        <f>+O22*Q22</f>
        <v>33.077647058823523</v>
      </c>
      <c r="T22" s="25">
        <f t="shared" si="0"/>
        <v>5.5129411764705871</v>
      </c>
      <c r="U22" s="25">
        <f>+T22/Start!$C$15</f>
        <v>0.15751260504201678</v>
      </c>
      <c r="V22" s="25">
        <f>+U22/1000*Start!$C$18</f>
        <v>7.8756302521008389E-2</v>
      </c>
      <c r="W22" s="25">
        <f t="shared" si="1"/>
        <v>0</v>
      </c>
      <c r="X22" s="25" t="str">
        <f t="shared" si="2"/>
        <v/>
      </c>
      <c r="Y22" s="25" t="str">
        <f>IF(I22="Strom",T22/Q22/(Start!$C$15),"")</f>
        <v/>
      </c>
      <c r="Z22" s="25" t="str">
        <f t="shared" si="3"/>
        <v/>
      </c>
    </row>
    <row r="23" spans="1:26" ht="15" customHeight="1">
      <c r="A23" s="17">
        <v>22</v>
      </c>
      <c r="B23" s="18" t="s">
        <v>63</v>
      </c>
      <c r="C23" s="18" t="s">
        <v>6</v>
      </c>
      <c r="D23" s="17" t="s">
        <v>230</v>
      </c>
      <c r="E23" s="17" t="s">
        <v>230</v>
      </c>
      <c r="F23" s="17" t="s">
        <v>230</v>
      </c>
      <c r="G23" s="19" t="s">
        <v>84</v>
      </c>
      <c r="H23" s="20" t="s">
        <v>86</v>
      </c>
      <c r="I23" s="18" t="s">
        <v>186</v>
      </c>
      <c r="K23" s="19" t="str">
        <f>_xlfn.XLOOKUP(L23,Values!$A$137:$A$140,Values!$B$137:$B$140)</f>
        <v>26 bis 70</v>
      </c>
      <c r="L23" s="51">
        <v>26</v>
      </c>
      <c r="M23" s="19" t="s">
        <v>5</v>
      </c>
      <c r="N23" s="22">
        <v>2</v>
      </c>
      <c r="Q23" s="28">
        <f>+$Q$2*0.96</f>
        <v>28.799999999999997</v>
      </c>
      <c r="S23" s="24">
        <f>+Q23/N23*L23</f>
        <v>374.4</v>
      </c>
      <c r="T23" s="25">
        <f>+S23/L23</f>
        <v>14.399999999999999</v>
      </c>
      <c r="U23" s="25">
        <f>+T23/Start!$C$15</f>
        <v>0.41142857142857137</v>
      </c>
      <c r="V23" s="25">
        <f>+U23/1000*Start!$C$18</f>
        <v>0.20571428571428568</v>
      </c>
      <c r="W23" s="25">
        <f t="shared" si="1"/>
        <v>0</v>
      </c>
      <c r="X23" s="25" t="str">
        <f t="shared" si="2"/>
        <v/>
      </c>
      <c r="Y23" s="25" t="str">
        <f>IF(I23="Strom",T23/Q23/(Start!$C$15),"")</f>
        <v/>
      </c>
      <c r="Z23" s="25" t="str">
        <f t="shared" si="3"/>
        <v/>
      </c>
    </row>
    <row r="24" spans="1:26" ht="15" customHeight="1">
      <c r="A24" s="17">
        <v>23</v>
      </c>
      <c r="B24" s="18" t="s">
        <v>63</v>
      </c>
      <c r="C24" s="18" t="s">
        <v>6</v>
      </c>
      <c r="D24" s="17" t="s">
        <v>230</v>
      </c>
      <c r="E24" s="17" t="s">
        <v>230</v>
      </c>
      <c r="F24" s="17" t="s">
        <v>230</v>
      </c>
      <c r="G24" s="19" t="s">
        <v>97</v>
      </c>
      <c r="H24" s="20" t="s">
        <v>3</v>
      </c>
      <c r="I24" s="18" t="s">
        <v>152</v>
      </c>
      <c r="K24" s="19" t="str">
        <f>_xlfn.XLOOKUP(L24,Values!$A$137:$A$140,Values!$B$137:$B$140)</f>
        <v>26 bis 70</v>
      </c>
      <c r="L24" s="51">
        <v>26</v>
      </c>
      <c r="M24" s="19" t="s">
        <v>5</v>
      </c>
      <c r="N24" s="22">
        <v>15</v>
      </c>
      <c r="Q24" s="28">
        <f>+$Q$3*0.96</f>
        <v>264</v>
      </c>
      <c r="R24" s="26">
        <f>+Q24*L24/(1-Start!$C$16)</f>
        <v>8075.2941176470595</v>
      </c>
      <c r="S24" s="24">
        <f>+R24/N24</f>
        <v>538.35294117647061</v>
      </c>
      <c r="T24" s="25">
        <f t="shared" si="0"/>
        <v>20.705882352941178</v>
      </c>
      <c r="U24" s="25">
        <f>+T24/Start!$C$15</f>
        <v>0.59159663865546219</v>
      </c>
      <c r="V24" s="25">
        <f>+U24/1000*Start!$C$18</f>
        <v>0.2957983193277311</v>
      </c>
      <c r="W24" s="25">
        <f t="shared" si="1"/>
        <v>310.58823529411768</v>
      </c>
      <c r="X24" s="25" t="str">
        <f t="shared" si="2"/>
        <v/>
      </c>
      <c r="Y24" s="25" t="str">
        <f>IF(I24="Strom",T24/Q24/(Start!$C$15),"")</f>
        <v/>
      </c>
      <c r="Z24" s="25" t="str">
        <f t="shared" si="3"/>
        <v/>
      </c>
    </row>
    <row r="25" spans="1:26" ht="15" customHeight="1">
      <c r="A25" s="17">
        <v>24</v>
      </c>
      <c r="B25" s="18" t="s">
        <v>63</v>
      </c>
      <c r="C25" s="18" t="s">
        <v>6</v>
      </c>
      <c r="D25" s="17" t="s">
        <v>230</v>
      </c>
      <c r="E25" s="17" t="s">
        <v>230</v>
      </c>
      <c r="F25" s="17" t="s">
        <v>230</v>
      </c>
      <c r="G25" s="19" t="s">
        <v>97</v>
      </c>
      <c r="H25" s="20" t="s">
        <v>3</v>
      </c>
      <c r="I25" s="18" t="s">
        <v>193</v>
      </c>
      <c r="K25" s="19" t="str">
        <f>_xlfn.XLOOKUP(L25,Values!$A$137:$A$140,Values!$B$137:$B$140)</f>
        <v>26 bis 70</v>
      </c>
      <c r="L25" s="51">
        <v>26</v>
      </c>
      <c r="M25" s="19" t="s">
        <v>10</v>
      </c>
      <c r="N25" s="22">
        <v>10</v>
      </c>
      <c r="O25" s="19">
        <v>0</v>
      </c>
      <c r="Q25" s="23">
        <v>800</v>
      </c>
      <c r="R25" s="26">
        <f>+Q25*O25</f>
        <v>0</v>
      </c>
      <c r="S25" s="24">
        <f>+R25/N25</f>
        <v>0</v>
      </c>
      <c r="T25" s="25">
        <f t="shared" si="0"/>
        <v>0</v>
      </c>
      <c r="U25" s="25">
        <f>+T25/Start!$C$15</f>
        <v>0</v>
      </c>
      <c r="V25" s="25">
        <f>+U25/1000*Start!$C$18</f>
        <v>0</v>
      </c>
      <c r="W25" s="25">
        <f t="shared" si="1"/>
        <v>0</v>
      </c>
      <c r="X25" s="25" t="str">
        <f t="shared" si="2"/>
        <v/>
      </c>
      <c r="Y25" s="25" t="str">
        <f>IF(I25="Strom",T25/Q25/(Start!$C$15),"")</f>
        <v/>
      </c>
      <c r="Z25" s="25" t="str">
        <f t="shared" si="3"/>
        <v/>
      </c>
    </row>
    <row r="26" spans="1:26" ht="15" customHeight="1">
      <c r="A26" s="17">
        <v>25</v>
      </c>
      <c r="B26" s="18" t="s">
        <v>63</v>
      </c>
      <c r="C26" s="18" t="s">
        <v>6</v>
      </c>
      <c r="D26" s="17" t="s">
        <v>230</v>
      </c>
      <c r="E26" s="17" t="s">
        <v>230</v>
      </c>
      <c r="F26" s="17" t="s">
        <v>230</v>
      </c>
      <c r="G26" s="19" t="s">
        <v>97</v>
      </c>
      <c r="H26" s="20" t="s">
        <v>3</v>
      </c>
      <c r="I26" s="18" t="s">
        <v>194</v>
      </c>
      <c r="J26" s="18"/>
      <c r="K26" s="19" t="str">
        <f>_xlfn.XLOOKUP(L26,Values!$A$137:$A$140,Values!$B$137:$B$140)</f>
        <v>26 bis 70</v>
      </c>
      <c r="L26" s="51">
        <v>26</v>
      </c>
      <c r="M26" s="19" t="s">
        <v>10</v>
      </c>
      <c r="N26" s="22">
        <v>11</v>
      </c>
      <c r="O26" s="19">
        <v>1</v>
      </c>
      <c r="Q26" s="23">
        <v>200</v>
      </c>
      <c r="R26" s="26">
        <f>+Q26*O26</f>
        <v>200</v>
      </c>
      <c r="S26" s="24">
        <f>+R26/N26</f>
        <v>18.181818181818183</v>
      </c>
      <c r="T26" s="25">
        <f t="shared" si="0"/>
        <v>0.69930069930069938</v>
      </c>
      <c r="U26" s="25">
        <f>+T26/Start!$C$15</f>
        <v>1.9980019980019983E-2</v>
      </c>
      <c r="V26" s="25">
        <f>+U26/1000*Start!$C$18</f>
        <v>9.9900099900099917E-3</v>
      </c>
      <c r="W26" s="25">
        <f t="shared" si="1"/>
        <v>7.6923076923076925</v>
      </c>
      <c r="X26" s="25" t="str">
        <f t="shared" si="2"/>
        <v/>
      </c>
      <c r="Y26" s="25" t="str">
        <f>IF(I26="Strom",T26/Q26/(Start!$C$15),"")</f>
        <v/>
      </c>
      <c r="Z26" s="25" t="str">
        <f t="shared" si="3"/>
        <v/>
      </c>
    </row>
    <row r="27" spans="1:26" ht="15" customHeight="1">
      <c r="A27" s="17">
        <v>26</v>
      </c>
      <c r="B27" s="18" t="s">
        <v>63</v>
      </c>
      <c r="C27" s="18" t="s">
        <v>6</v>
      </c>
      <c r="D27" s="17" t="s">
        <v>230</v>
      </c>
      <c r="E27" s="17" t="s">
        <v>230</v>
      </c>
      <c r="F27" s="17" t="s">
        <v>230</v>
      </c>
      <c r="G27" s="19" t="s">
        <v>97</v>
      </c>
      <c r="H27" s="20" t="s">
        <v>3</v>
      </c>
      <c r="I27" s="20" t="s">
        <v>187</v>
      </c>
      <c r="J27" s="18"/>
      <c r="K27" s="19" t="str">
        <f>_xlfn.XLOOKUP(L27,Values!$A$137:$A$140,Values!$B$137:$B$140)</f>
        <v>26 bis 70</v>
      </c>
      <c r="L27" s="51">
        <v>26</v>
      </c>
      <c r="M27" s="18" t="s">
        <v>5</v>
      </c>
      <c r="N27" s="22">
        <v>15</v>
      </c>
      <c r="O27" s="27">
        <f>Start!$C$16+0.25</f>
        <v>0.4</v>
      </c>
      <c r="Q27" s="28">
        <f>+Q24*0.4</f>
        <v>105.60000000000001</v>
      </c>
      <c r="R27" s="26">
        <f>+Q27*L27*O27</f>
        <v>1098.2400000000002</v>
      </c>
      <c r="S27" s="24">
        <f>+R27/N27</f>
        <v>73.216000000000022</v>
      </c>
      <c r="T27" s="25">
        <f t="shared" si="0"/>
        <v>2.8160000000000007</v>
      </c>
      <c r="U27" s="25">
        <f>+T27/Start!$C$15</f>
        <v>8.045714285714288E-2</v>
      </c>
      <c r="V27" s="25">
        <f>+U27/1000*Start!$C$18</f>
        <v>4.022857142857144E-2</v>
      </c>
      <c r="W27" s="25">
        <f t="shared" si="1"/>
        <v>42.240000000000009</v>
      </c>
      <c r="X27" s="25" t="str">
        <f t="shared" si="2"/>
        <v/>
      </c>
      <c r="Y27" s="25" t="str">
        <f>IF(I27="Strom",T27/Q27/(Start!$C$15),"")</f>
        <v/>
      </c>
      <c r="Z27" s="25" t="str">
        <f t="shared" si="3"/>
        <v/>
      </c>
    </row>
    <row r="28" spans="1:26" ht="15" customHeight="1">
      <c r="A28" s="17">
        <v>27</v>
      </c>
      <c r="B28" s="18" t="s">
        <v>63</v>
      </c>
      <c r="C28" s="18" t="s">
        <v>6</v>
      </c>
      <c r="D28" s="17" t="s">
        <v>230</v>
      </c>
      <c r="E28" s="17" t="s">
        <v>230</v>
      </c>
      <c r="F28" s="17" t="s">
        <v>230</v>
      </c>
      <c r="G28" s="19" t="s">
        <v>84</v>
      </c>
      <c r="H28" s="20" t="s">
        <v>86</v>
      </c>
      <c r="I28" s="18" t="s">
        <v>188</v>
      </c>
      <c r="J28" s="19" t="s">
        <v>62</v>
      </c>
      <c r="K28" s="19" t="str">
        <f>_xlfn.XLOOKUP(L28,Values!$A$137:$A$140,Values!$B$137:$B$140)</f>
        <v>26 bis 70</v>
      </c>
      <c r="L28" s="51">
        <v>26</v>
      </c>
      <c r="M28" s="19" t="s">
        <v>5</v>
      </c>
      <c r="N28" s="22">
        <v>1</v>
      </c>
      <c r="O28" s="29">
        <f>2*O27</f>
        <v>0.8</v>
      </c>
      <c r="Q28" s="30">
        <v>1.3</v>
      </c>
      <c r="R28" s="26"/>
      <c r="S28" s="24">
        <f>+(O28*Q28*L28)</f>
        <v>27.04</v>
      </c>
      <c r="T28" s="25">
        <f t="shared" si="0"/>
        <v>1.04</v>
      </c>
      <c r="U28" s="25">
        <f>+T28/Start!$C$15</f>
        <v>2.9714285714285714E-2</v>
      </c>
      <c r="V28" s="25">
        <f>+U28/1000*Start!$C$18</f>
        <v>1.4857142857142857E-2</v>
      </c>
      <c r="W28" s="25">
        <f t="shared" si="1"/>
        <v>0</v>
      </c>
      <c r="X28" s="25" t="str">
        <f t="shared" si="2"/>
        <v/>
      </c>
      <c r="Y28" s="25" t="str">
        <f>IF(I28="Strom",T28/Q28/(Start!$C$15),"")</f>
        <v/>
      </c>
      <c r="Z28" s="25" t="str">
        <f t="shared" si="3"/>
        <v/>
      </c>
    </row>
    <row r="29" spans="1:26" ht="15" customHeight="1">
      <c r="A29" s="17">
        <v>28</v>
      </c>
      <c r="B29" s="18" t="s">
        <v>63</v>
      </c>
      <c r="C29" s="18" t="s">
        <v>6</v>
      </c>
      <c r="D29" s="17" t="s">
        <v>230</v>
      </c>
      <c r="E29" s="17" t="s">
        <v>230</v>
      </c>
      <c r="F29" s="17" t="s">
        <v>230</v>
      </c>
      <c r="G29" s="19" t="s">
        <v>84</v>
      </c>
      <c r="H29" s="20" t="s">
        <v>86</v>
      </c>
      <c r="I29" s="18" t="s">
        <v>189</v>
      </c>
      <c r="K29" s="19" t="str">
        <f>_xlfn.XLOOKUP(L29,Values!$A$137:$A$140,Values!$B$137:$B$140)</f>
        <v>26 bis 70</v>
      </c>
      <c r="L29" s="51">
        <v>26</v>
      </c>
      <c r="M29" s="19" t="s">
        <v>5</v>
      </c>
      <c r="N29" s="22">
        <v>1</v>
      </c>
      <c r="O29" s="19">
        <f>1*O27</f>
        <v>0.4</v>
      </c>
      <c r="Q29" s="28">
        <f>+Q23</f>
        <v>28.799999999999997</v>
      </c>
      <c r="S29" s="24">
        <f>+(O29*Q29*L29)</f>
        <v>299.52</v>
      </c>
      <c r="T29" s="25">
        <f>+S29/L29</f>
        <v>11.52</v>
      </c>
      <c r="U29" s="25">
        <f>+T29/Start!$C$15</f>
        <v>0.32914285714285713</v>
      </c>
      <c r="V29" s="25">
        <f>+U29/1000*Start!$C$18</f>
        <v>0.16457142857142856</v>
      </c>
      <c r="W29" s="25">
        <f>+R29/L29</f>
        <v>0</v>
      </c>
      <c r="X29" s="25" t="str">
        <f>IF(H29="Arbeit",S29/Q29/L29,"")</f>
        <v/>
      </c>
      <c r="Y29" s="25" t="str">
        <f>IF(I29="Strom",T29/Q29/(Start!$C$15),"")</f>
        <v/>
      </c>
      <c r="Z29" s="25" t="str">
        <f t="shared" si="3"/>
        <v/>
      </c>
    </row>
    <row r="30" spans="1:26" ht="15" customHeight="1">
      <c r="A30" s="17">
        <v>29</v>
      </c>
      <c r="B30" s="18" t="s">
        <v>63</v>
      </c>
      <c r="C30" s="18" t="s">
        <v>6</v>
      </c>
      <c r="D30" s="17" t="s">
        <v>230</v>
      </c>
      <c r="E30" s="17" t="s">
        <v>230</v>
      </c>
      <c r="F30" s="17" t="s">
        <v>230</v>
      </c>
      <c r="G30" s="19" t="s">
        <v>84</v>
      </c>
      <c r="H30" s="20" t="s">
        <v>86</v>
      </c>
      <c r="I30" s="18" t="s">
        <v>191</v>
      </c>
      <c r="K30" s="19" t="str">
        <f>_xlfn.XLOOKUP(L30,Values!$A$137:$A$140,Values!$B$137:$B$140)</f>
        <v>26 bis 70</v>
      </c>
      <c r="L30" s="51">
        <v>26</v>
      </c>
      <c r="M30" s="19" t="s">
        <v>5</v>
      </c>
      <c r="O30" s="31">
        <f>10*O29</f>
        <v>4</v>
      </c>
      <c r="P30" s="32"/>
      <c r="Q30" s="33">
        <f>+Start!$C$25</f>
        <v>1.8</v>
      </c>
      <c r="S30" s="24">
        <f>+(O30*Q30*L30)</f>
        <v>187.20000000000002</v>
      </c>
      <c r="T30" s="25">
        <f t="shared" ref="T30:T31" si="16">+S30/L30</f>
        <v>7.2000000000000011</v>
      </c>
      <c r="U30" s="25">
        <f>+T30/Start!$C$15</f>
        <v>0.20571428571428574</v>
      </c>
      <c r="V30" s="25">
        <f>+U30/1000*Start!$C$18</f>
        <v>0.10285714285714287</v>
      </c>
      <c r="W30" s="25">
        <f t="shared" ref="W30:W31" si="17">+R30/L30</f>
        <v>0</v>
      </c>
      <c r="X30" s="25" t="str">
        <f t="shared" ref="X30" si="18">IF(H30="Arbeit",S30/Q30/L30,"")</f>
        <v/>
      </c>
      <c r="Y30" s="25" t="str">
        <f>IF(I30="Strom",T30/Q30/(Start!$C$15),"")</f>
        <v/>
      </c>
      <c r="Z30" s="25" t="str">
        <f t="shared" si="3"/>
        <v/>
      </c>
    </row>
    <row r="31" spans="1:26" ht="15" customHeight="1">
      <c r="A31" s="17">
        <v>30</v>
      </c>
      <c r="B31" s="18" t="s">
        <v>63</v>
      </c>
      <c r="C31" s="18" t="s">
        <v>6</v>
      </c>
      <c r="D31" s="17" t="s">
        <v>230</v>
      </c>
      <c r="E31" s="17" t="s">
        <v>230</v>
      </c>
      <c r="F31" s="17" t="s">
        <v>230</v>
      </c>
      <c r="G31" s="19" t="s">
        <v>97</v>
      </c>
      <c r="H31" s="20" t="s">
        <v>0</v>
      </c>
      <c r="I31" s="34" t="s">
        <v>192</v>
      </c>
      <c r="K31" s="19" t="str">
        <f>_xlfn.XLOOKUP(L31,Values!$A$137:$A$140,Values!$B$137:$B$140)</f>
        <v>26 bis 70</v>
      </c>
      <c r="L31" s="51">
        <v>26</v>
      </c>
      <c r="M31" s="19" t="s">
        <v>5</v>
      </c>
      <c r="O31" s="35">
        <f>5*O27</f>
        <v>2</v>
      </c>
      <c r="P31" s="36">
        <v>5</v>
      </c>
      <c r="Q31" s="37">
        <f>+Start!$C$29</f>
        <v>14</v>
      </c>
      <c r="S31" s="24">
        <f>+O31*P31/60*Q31*L31</f>
        <v>60.666666666666657</v>
      </c>
      <c r="T31" s="25">
        <f t="shared" si="16"/>
        <v>2.333333333333333</v>
      </c>
      <c r="U31" s="25">
        <f>+T31/Start!$C$15</f>
        <v>6.6666666666666652E-2</v>
      </c>
      <c r="V31" s="25">
        <f>+U31/1000*Start!$C$18</f>
        <v>3.3333333333333326E-2</v>
      </c>
      <c r="W31" s="25">
        <f t="shared" si="17"/>
        <v>0</v>
      </c>
      <c r="X31" s="25">
        <f>IF(H31="Arbeit",S31/Q31/L31,"")</f>
        <v>0.16666666666666666</v>
      </c>
      <c r="Y31" s="25" t="str">
        <f>IF(I31="Strom",T31/Q31/(Start!$C$15),"")</f>
        <v/>
      </c>
      <c r="Z31" s="25" t="str">
        <f t="shared" si="3"/>
        <v/>
      </c>
    </row>
    <row r="32" spans="1:26" ht="15" customHeight="1">
      <c r="A32" s="17">
        <v>31</v>
      </c>
      <c r="B32" s="18" t="s">
        <v>63</v>
      </c>
      <c r="C32" s="18" t="s">
        <v>6</v>
      </c>
      <c r="D32" s="17" t="s">
        <v>230</v>
      </c>
      <c r="E32" s="17" t="s">
        <v>230</v>
      </c>
      <c r="F32" s="17" t="s">
        <v>230</v>
      </c>
      <c r="G32" s="19" t="s">
        <v>84</v>
      </c>
      <c r="H32" s="20" t="s">
        <v>86</v>
      </c>
      <c r="I32" s="18" t="s">
        <v>54</v>
      </c>
      <c r="J32" s="19" t="s">
        <v>62</v>
      </c>
      <c r="K32" s="19" t="str">
        <f>_xlfn.XLOOKUP(L32,Values!$A$137:$A$140,Values!$B$137:$B$140)</f>
        <v>26 bis 70</v>
      </c>
      <c r="L32" s="51">
        <v>26</v>
      </c>
      <c r="M32" s="19" t="s">
        <v>5</v>
      </c>
      <c r="N32" s="22"/>
      <c r="O32" s="38">
        <v>2</v>
      </c>
      <c r="Q32" s="28">
        <f>+$Q$11*1</f>
        <v>1.3</v>
      </c>
      <c r="R32" s="26"/>
      <c r="S32" s="24">
        <f>+(O32*Q32*L32/(1-Start!$C$16))</f>
        <v>79.529411764705898</v>
      </c>
      <c r="T32" s="25">
        <f t="shared" si="0"/>
        <v>3.0588235294117654</v>
      </c>
      <c r="U32" s="25">
        <f>+T32/Start!$C$15</f>
        <v>8.73949579831933E-2</v>
      </c>
      <c r="V32" s="25">
        <f>+U32/1000*Start!$C$18</f>
        <v>4.369747899159665E-2</v>
      </c>
      <c r="W32" s="25">
        <f t="shared" si="1"/>
        <v>0</v>
      </c>
      <c r="X32" s="25" t="str">
        <f t="shared" si="2"/>
        <v/>
      </c>
      <c r="Y32" s="25" t="str">
        <f>IF(I32="Strom",T32/Q32/(Start!$C$15),"")</f>
        <v/>
      </c>
      <c r="Z32" s="25" t="str">
        <f t="shared" si="3"/>
        <v/>
      </c>
    </row>
    <row r="33" spans="1:26" ht="15" customHeight="1">
      <c r="A33" s="17">
        <v>32</v>
      </c>
      <c r="B33" s="18" t="s">
        <v>63</v>
      </c>
      <c r="C33" s="18" t="s">
        <v>6</v>
      </c>
      <c r="D33" s="17" t="s">
        <v>230</v>
      </c>
      <c r="E33" s="17" t="s">
        <v>230</v>
      </c>
      <c r="F33" s="17" t="s">
        <v>230</v>
      </c>
      <c r="G33" s="19" t="s">
        <v>84</v>
      </c>
      <c r="H33" s="20" t="s">
        <v>86</v>
      </c>
      <c r="I33" s="18" t="s">
        <v>102</v>
      </c>
      <c r="K33" s="19" t="str">
        <f>_xlfn.XLOOKUP(L33,Values!$A$137:$A$140,Values!$B$137:$B$140)</f>
        <v>26 bis 70</v>
      </c>
      <c r="L33" s="51">
        <v>26</v>
      </c>
      <c r="M33" s="19" t="s">
        <v>10</v>
      </c>
      <c r="N33" s="22">
        <v>10</v>
      </c>
      <c r="Q33" s="23">
        <v>200</v>
      </c>
      <c r="R33" s="39"/>
      <c r="S33" s="24">
        <f>+Q33/N33</f>
        <v>20</v>
      </c>
      <c r="T33" s="25">
        <f t="shared" si="0"/>
        <v>0.76923076923076927</v>
      </c>
      <c r="U33" s="25">
        <f>+T33/Start!$C$15</f>
        <v>2.197802197802198E-2</v>
      </c>
      <c r="V33" s="25">
        <f>+U33/1000*Start!$C$18</f>
        <v>1.098901098901099E-2</v>
      </c>
      <c r="W33" s="25">
        <f t="shared" si="1"/>
        <v>0</v>
      </c>
      <c r="X33" s="25" t="str">
        <f t="shared" si="2"/>
        <v/>
      </c>
      <c r="Y33" s="25" t="str">
        <f>IF(I33="Strom",T33/Q33/(Start!$C$15),"")</f>
        <v/>
      </c>
      <c r="Z33" s="25" t="str">
        <f t="shared" si="3"/>
        <v/>
      </c>
    </row>
    <row r="34" spans="1:26" ht="15" customHeight="1">
      <c r="A34" s="17">
        <v>33</v>
      </c>
      <c r="B34" s="18" t="s">
        <v>63</v>
      </c>
      <c r="C34" s="18" t="s">
        <v>6</v>
      </c>
      <c r="D34" s="17" t="s">
        <v>230</v>
      </c>
      <c r="E34" s="17" t="s">
        <v>230</v>
      </c>
      <c r="F34" s="17" t="s">
        <v>230</v>
      </c>
      <c r="G34" s="19" t="s">
        <v>84</v>
      </c>
      <c r="H34" s="20" t="s">
        <v>86</v>
      </c>
      <c r="I34" s="18" t="s">
        <v>18</v>
      </c>
      <c r="K34" s="19" t="str">
        <f>_xlfn.XLOOKUP(L34,Values!$A$137:$A$140,Values!$B$137:$B$140)</f>
        <v>26 bis 70</v>
      </c>
      <c r="L34" s="51">
        <v>26</v>
      </c>
      <c r="M34" s="19" t="s">
        <v>10</v>
      </c>
      <c r="N34" s="22">
        <v>5</v>
      </c>
      <c r="Q34" s="23">
        <v>100</v>
      </c>
      <c r="R34" s="39"/>
      <c r="S34" s="24">
        <f>+Q34/N34</f>
        <v>20</v>
      </c>
      <c r="T34" s="25">
        <f t="shared" si="0"/>
        <v>0.76923076923076927</v>
      </c>
      <c r="U34" s="25">
        <f>+T34/Start!$C$15</f>
        <v>2.197802197802198E-2</v>
      </c>
      <c r="V34" s="25">
        <f>+U34/1000*Start!$C$18</f>
        <v>1.098901098901099E-2</v>
      </c>
      <c r="W34" s="25">
        <f t="shared" si="1"/>
        <v>0</v>
      </c>
      <c r="X34" s="25" t="str">
        <f t="shared" si="2"/>
        <v/>
      </c>
      <c r="Y34" s="25" t="str">
        <f>IF(I34="Strom",T34/Q34/(Start!$C$15),"")</f>
        <v/>
      </c>
      <c r="Z34" s="25" t="str">
        <f t="shared" si="3"/>
        <v/>
      </c>
    </row>
    <row r="35" spans="1:26" ht="15" customHeight="1">
      <c r="A35" s="17">
        <v>34</v>
      </c>
      <c r="B35" s="18" t="s">
        <v>63</v>
      </c>
      <c r="C35" s="18" t="s">
        <v>6</v>
      </c>
      <c r="D35" s="17" t="s">
        <v>230</v>
      </c>
      <c r="E35" s="17" t="s">
        <v>230</v>
      </c>
      <c r="F35" s="17" t="s">
        <v>230</v>
      </c>
      <c r="G35" s="19" t="s">
        <v>84</v>
      </c>
      <c r="H35" s="20" t="s">
        <v>86</v>
      </c>
      <c r="I35" s="18" t="s">
        <v>14</v>
      </c>
      <c r="J35" s="19" t="s">
        <v>38</v>
      </c>
      <c r="K35" s="19" t="str">
        <f>_xlfn.XLOOKUP(L35,Values!$A$137:$A$140,Values!$B$137:$B$140)</f>
        <v>26 bis 70</v>
      </c>
      <c r="L35" s="51">
        <v>26</v>
      </c>
      <c r="M35" s="19" t="s">
        <v>5</v>
      </c>
      <c r="O35" s="31">
        <f>+Start!$C$26</f>
        <v>15</v>
      </c>
      <c r="P35" s="32"/>
      <c r="Q35" s="33">
        <f>+Start!$C$25</f>
        <v>1.8</v>
      </c>
      <c r="S35" s="24">
        <f>+Start!$C$26*Start!$C$25*L35/(1-Start!$C$16)</f>
        <v>825.88235294117646</v>
      </c>
      <c r="T35" s="25">
        <f t="shared" si="0"/>
        <v>31.764705882352942</v>
      </c>
      <c r="U35" s="25">
        <f>+T35/Start!$C$15</f>
        <v>0.90756302521008403</v>
      </c>
      <c r="V35" s="25">
        <f>+U35/1000*Start!$C$18</f>
        <v>0.45378151260504201</v>
      </c>
      <c r="W35" s="25">
        <f t="shared" si="1"/>
        <v>0</v>
      </c>
      <c r="X35" s="25" t="str">
        <f t="shared" si="2"/>
        <v/>
      </c>
      <c r="Y35" s="25" t="str">
        <f>IF(I35="Strom",T35/Q35/(Start!$C$15),"")</f>
        <v/>
      </c>
      <c r="Z35" s="25" t="str">
        <f t="shared" si="3"/>
        <v/>
      </c>
    </row>
    <row r="36" spans="1:26" ht="15" customHeight="1">
      <c r="A36" s="17">
        <v>35</v>
      </c>
      <c r="B36" s="18" t="s">
        <v>63</v>
      </c>
      <c r="C36" s="18" t="s">
        <v>6</v>
      </c>
      <c r="D36" s="17" t="s">
        <v>230</v>
      </c>
      <c r="E36" s="17" t="s">
        <v>230</v>
      </c>
      <c r="F36" s="17" t="s">
        <v>230</v>
      </c>
      <c r="G36" s="19" t="s">
        <v>97</v>
      </c>
      <c r="H36" s="20" t="s">
        <v>47</v>
      </c>
      <c r="I36" s="18" t="s">
        <v>19</v>
      </c>
      <c r="J36" s="18" t="s">
        <v>153</v>
      </c>
      <c r="K36" s="19" t="str">
        <f>_xlfn.XLOOKUP(L36,Values!$A$137:$A$140,Values!$B$137:$B$140)</f>
        <v>26 bis 70</v>
      </c>
      <c r="L36" s="51">
        <v>26</v>
      </c>
      <c r="M36" s="19" t="s">
        <v>10</v>
      </c>
      <c r="O36" s="40">
        <f>ROUNDUP(L36/20,0)*10</f>
        <v>20</v>
      </c>
      <c r="P36" s="32"/>
      <c r="Q36" s="41">
        <v>0.35</v>
      </c>
      <c r="S36" s="42">
        <f>+Start!$C$13*2*O36*Q36</f>
        <v>14</v>
      </c>
      <c r="T36" s="25">
        <f t="shared" ref="T36:T43" si="19">+S36/L36</f>
        <v>0.53846153846153844</v>
      </c>
      <c r="U36" s="25">
        <f>+T36/Start!$C$15</f>
        <v>1.5384615384615384E-2</v>
      </c>
      <c r="V36" s="25">
        <f>+U36/1000*Start!$C$18</f>
        <v>7.6923076923076919E-3</v>
      </c>
      <c r="W36" s="25">
        <f t="shared" si="1"/>
        <v>0</v>
      </c>
      <c r="X36" s="25" t="str">
        <f t="shared" si="2"/>
        <v/>
      </c>
      <c r="Y36" s="25" t="str">
        <f>IF(I36="Strom",T36/Q36/(Start!$C$15),"")</f>
        <v/>
      </c>
      <c r="Z36" s="25">
        <f t="shared" si="3"/>
        <v>4.3956043956043959E-2</v>
      </c>
    </row>
    <row r="37" spans="1:26" ht="15" customHeight="1">
      <c r="A37" s="17">
        <v>36</v>
      </c>
      <c r="B37" s="18" t="s">
        <v>63</v>
      </c>
      <c r="C37" s="18" t="s">
        <v>6</v>
      </c>
      <c r="D37" s="17" t="s">
        <v>230</v>
      </c>
      <c r="E37" s="17" t="s">
        <v>230</v>
      </c>
      <c r="F37" s="17" t="s">
        <v>230</v>
      </c>
      <c r="G37" s="19" t="s">
        <v>97</v>
      </c>
      <c r="H37" s="20" t="s">
        <v>0</v>
      </c>
      <c r="I37" s="34" t="s">
        <v>32</v>
      </c>
      <c r="K37" s="19" t="str">
        <f>_xlfn.XLOOKUP(L37,Values!$A$137:$A$140,Values!$B$137:$B$140)</f>
        <v>26 bis 70</v>
      </c>
      <c r="L37" s="51">
        <v>26</v>
      </c>
      <c r="M37" s="19" t="s">
        <v>5</v>
      </c>
      <c r="O37" s="40">
        <v>10</v>
      </c>
      <c r="P37" s="36">
        <v>10</v>
      </c>
      <c r="Q37" s="37">
        <f>+Start!$C$29</f>
        <v>14</v>
      </c>
      <c r="S37" s="24">
        <f>+O37*P37/60*Q37*L37/(1-Start!$C$16)</f>
        <v>713.72549019607857</v>
      </c>
      <c r="T37" s="25">
        <f t="shared" si="19"/>
        <v>27.450980392156868</v>
      </c>
      <c r="U37" s="25">
        <f>+T37/Start!$C$15</f>
        <v>0.78431372549019629</v>
      </c>
      <c r="V37" s="25">
        <f>+U37/1000*Start!$C$18</f>
        <v>0.39215686274509814</v>
      </c>
      <c r="W37" s="25">
        <f t="shared" si="1"/>
        <v>0</v>
      </c>
      <c r="X37" s="25">
        <f t="shared" si="2"/>
        <v>1.9607843137254906</v>
      </c>
      <c r="Y37" s="25" t="str">
        <f>IF(I37="Strom",T37/Q37/(Start!$C$15),"")</f>
        <v/>
      </c>
      <c r="Z37" s="25" t="str">
        <f t="shared" si="3"/>
        <v/>
      </c>
    </row>
    <row r="38" spans="1:26" ht="15" customHeight="1">
      <c r="A38" s="17">
        <v>37</v>
      </c>
      <c r="B38" s="18" t="s">
        <v>63</v>
      </c>
      <c r="C38" s="18" t="s">
        <v>6</v>
      </c>
      <c r="D38" s="17" t="s">
        <v>230</v>
      </c>
      <c r="E38" s="17" t="s">
        <v>230</v>
      </c>
      <c r="F38" s="17" t="s">
        <v>230</v>
      </c>
      <c r="G38" s="19" t="s">
        <v>97</v>
      </c>
      <c r="H38" s="20" t="s">
        <v>0</v>
      </c>
      <c r="I38" s="34" t="s">
        <v>95</v>
      </c>
      <c r="K38" s="19" t="str">
        <f>_xlfn.XLOOKUP(L38,Values!$A$137:$A$140,Values!$B$137:$B$140)</f>
        <v>26 bis 70</v>
      </c>
      <c r="L38" s="51">
        <v>26</v>
      </c>
      <c r="M38" s="19" t="s">
        <v>10</v>
      </c>
      <c r="O38" s="40">
        <f t="shared" ref="O38:O39" si="20">ROUNDUP(L38/20,0)*10</f>
        <v>20</v>
      </c>
      <c r="P38" s="36">
        <v>15</v>
      </c>
      <c r="Q38" s="37">
        <f>+Start!$C$29</f>
        <v>14</v>
      </c>
      <c r="S38" s="24">
        <f>+O38*P38/60*Q38</f>
        <v>70</v>
      </c>
      <c r="T38" s="25">
        <f t="shared" si="19"/>
        <v>2.6923076923076925</v>
      </c>
      <c r="U38" s="25">
        <f>+T38/Start!$C$15</f>
        <v>7.6923076923076927E-2</v>
      </c>
      <c r="V38" s="25">
        <f>+U38/1000*Start!$C$18</f>
        <v>3.8461538461538464E-2</v>
      </c>
      <c r="W38" s="25">
        <f t="shared" si="1"/>
        <v>0</v>
      </c>
      <c r="X38" s="25">
        <f t="shared" si="2"/>
        <v>0.19230769230769232</v>
      </c>
      <c r="Y38" s="25" t="str">
        <f>IF(I38="Strom",T38/Q38/(Start!$C$15),"")</f>
        <v/>
      </c>
      <c r="Z38" s="25" t="str">
        <f t="shared" si="3"/>
        <v/>
      </c>
    </row>
    <row r="39" spans="1:26" ht="15" customHeight="1">
      <c r="A39" s="17">
        <v>38</v>
      </c>
      <c r="B39" s="18" t="s">
        <v>63</v>
      </c>
      <c r="C39" s="18" t="s">
        <v>6</v>
      </c>
      <c r="D39" s="17" t="s">
        <v>230</v>
      </c>
      <c r="E39" s="17" t="s">
        <v>230</v>
      </c>
      <c r="F39" s="17" t="s">
        <v>230</v>
      </c>
      <c r="G39" s="19" t="s">
        <v>97</v>
      </c>
      <c r="H39" s="20" t="s">
        <v>0</v>
      </c>
      <c r="I39" s="34" t="s">
        <v>96</v>
      </c>
      <c r="K39" s="19" t="str">
        <f>_xlfn.XLOOKUP(L39,Values!$A$137:$A$140,Values!$B$137:$B$140)</f>
        <v>26 bis 70</v>
      </c>
      <c r="L39" s="51">
        <v>26</v>
      </c>
      <c r="M39" s="19" t="s">
        <v>10</v>
      </c>
      <c r="O39" s="40">
        <f t="shared" si="20"/>
        <v>20</v>
      </c>
      <c r="P39" s="36">
        <f>(+Start!$C$13*2)/60*60</f>
        <v>2</v>
      </c>
      <c r="Q39" s="37">
        <f>+Start!$C$29</f>
        <v>14</v>
      </c>
      <c r="S39" s="24">
        <f>+O39*P39/60*Q39</f>
        <v>9.3333333333333321</v>
      </c>
      <c r="T39" s="25">
        <f t="shared" si="19"/>
        <v>0.35897435897435892</v>
      </c>
      <c r="U39" s="25">
        <f>+T39/Start!$C$15</f>
        <v>1.0256410256410255E-2</v>
      </c>
      <c r="V39" s="25">
        <f>+U39/1000*Start!$C$18</f>
        <v>5.1282051282051273E-3</v>
      </c>
      <c r="W39" s="25">
        <f t="shared" si="1"/>
        <v>0</v>
      </c>
      <c r="X39" s="25">
        <f t="shared" si="2"/>
        <v>2.564102564102564E-2</v>
      </c>
      <c r="Y39" s="25" t="str">
        <f>IF(I39="Strom",T39/Q39/(Start!$C$15),"")</f>
        <v/>
      </c>
      <c r="Z39" s="25" t="str">
        <f t="shared" si="3"/>
        <v/>
      </c>
    </row>
    <row r="40" spans="1:26" ht="15" customHeight="1">
      <c r="A40" s="17">
        <v>39</v>
      </c>
      <c r="B40" s="18" t="s">
        <v>63</v>
      </c>
      <c r="C40" s="18" t="s">
        <v>6</v>
      </c>
      <c r="D40" s="17" t="s">
        <v>230</v>
      </c>
      <c r="E40" s="17" t="s">
        <v>230</v>
      </c>
      <c r="F40" s="17" t="s">
        <v>230</v>
      </c>
      <c r="G40" s="19" t="s">
        <v>97</v>
      </c>
      <c r="H40" s="18" t="s">
        <v>117</v>
      </c>
      <c r="I40" s="18" t="s">
        <v>117</v>
      </c>
      <c r="J40" s="19" t="s">
        <v>116</v>
      </c>
      <c r="K40" s="19" t="str">
        <f>_xlfn.XLOOKUP(L40,Values!$A$137:$A$140,Values!$B$137:$B$140)</f>
        <v>26 bis 70</v>
      </c>
      <c r="L40" s="51">
        <v>26</v>
      </c>
      <c r="M40" s="19" t="s">
        <v>10</v>
      </c>
      <c r="O40" s="37"/>
      <c r="P40" s="37"/>
      <c r="Q40" s="43">
        <f>+Start!$C$30</f>
        <v>0.28999999999999998</v>
      </c>
      <c r="S40" s="24">
        <f>(+S37+S38+S39+S31)*Q40</f>
        <v>247.58039215686276</v>
      </c>
      <c r="T40" s="25">
        <f t="shared" si="19"/>
        <v>9.5223227752639517</v>
      </c>
      <c r="U40" s="25">
        <f>+T40/Start!$C$15</f>
        <v>0.2720663650075415</v>
      </c>
      <c r="V40" s="25">
        <f>+U40/1000*Start!$C$18</f>
        <v>0.13603318250377075</v>
      </c>
      <c r="W40" s="25">
        <f t="shared" si="1"/>
        <v>0</v>
      </c>
      <c r="X40" s="25" t="str">
        <f t="shared" si="2"/>
        <v/>
      </c>
      <c r="Y40" s="25" t="str">
        <f>IF(I40="Strom",T40/Q40/(Start!$C$15),"")</f>
        <v/>
      </c>
      <c r="Z40" s="25" t="str">
        <f t="shared" si="3"/>
        <v/>
      </c>
    </row>
    <row r="41" spans="1:26" ht="15" customHeight="1">
      <c r="A41" s="17">
        <v>40</v>
      </c>
      <c r="B41" s="18" t="s">
        <v>63</v>
      </c>
      <c r="C41" s="18" t="s">
        <v>6</v>
      </c>
      <c r="D41" s="17" t="s">
        <v>230</v>
      </c>
      <c r="E41" s="17" t="s">
        <v>230</v>
      </c>
      <c r="F41" s="17" t="s">
        <v>230</v>
      </c>
      <c r="G41" s="19" t="s">
        <v>97</v>
      </c>
      <c r="H41" s="20" t="s">
        <v>16</v>
      </c>
      <c r="I41" s="18" t="s">
        <v>16</v>
      </c>
      <c r="J41" s="19" t="s">
        <v>21</v>
      </c>
      <c r="K41" s="19" t="str">
        <f>_xlfn.XLOOKUP(L41,Values!$A$137:$A$140,Values!$B$137:$B$140)</f>
        <v>26 bis 70</v>
      </c>
      <c r="L41" s="51">
        <v>26</v>
      </c>
      <c r="M41" s="19" t="s">
        <v>10</v>
      </c>
      <c r="N41" s="44">
        <v>1</v>
      </c>
      <c r="O41" s="45">
        <v>25</v>
      </c>
      <c r="Q41" s="46">
        <f>+Start!$C$31</f>
        <v>4.6100000000000003</v>
      </c>
      <c r="S41" s="24">
        <f>+O41*Q41*12</f>
        <v>1383.0000000000002</v>
      </c>
      <c r="T41" s="25">
        <f t="shared" si="19"/>
        <v>53.192307692307701</v>
      </c>
      <c r="U41" s="25">
        <f>+T41/Start!$C$15</f>
        <v>1.5197802197802199</v>
      </c>
      <c r="V41" s="25">
        <f>+U41/1000*Start!$C$18</f>
        <v>0.75989010989010997</v>
      </c>
      <c r="W41" s="25">
        <f t="shared" si="1"/>
        <v>0</v>
      </c>
      <c r="X41" s="25" t="str">
        <f t="shared" si="2"/>
        <v/>
      </c>
      <c r="Y41" s="25" t="str">
        <f>IF(I41="Strom",T41/Q41/(Start!$C$15),"")</f>
        <v/>
      </c>
      <c r="Z41" s="25" t="str">
        <f t="shared" si="3"/>
        <v/>
      </c>
    </row>
    <row r="42" spans="1:26" ht="15" customHeight="1">
      <c r="A42" s="17">
        <v>41</v>
      </c>
      <c r="B42" s="18" t="s">
        <v>63</v>
      </c>
      <c r="C42" s="18" t="s">
        <v>6</v>
      </c>
      <c r="D42" s="17" t="s">
        <v>230</v>
      </c>
      <c r="E42" s="17" t="s">
        <v>230</v>
      </c>
      <c r="F42" s="17" t="s">
        <v>230</v>
      </c>
      <c r="G42" s="19" t="s">
        <v>97</v>
      </c>
      <c r="H42" s="20" t="s">
        <v>16</v>
      </c>
      <c r="I42" s="18" t="s">
        <v>101</v>
      </c>
      <c r="J42" s="19" t="s">
        <v>21</v>
      </c>
      <c r="K42" s="19" t="str">
        <f>_xlfn.XLOOKUP(L42,Values!$A$137:$A$140,Values!$B$137:$B$140)</f>
        <v>26 bis 70</v>
      </c>
      <c r="L42" s="51">
        <v>26</v>
      </c>
      <c r="M42" s="19" t="s">
        <v>10</v>
      </c>
      <c r="N42" s="44">
        <v>1</v>
      </c>
      <c r="O42" s="47">
        <f>+O41</f>
        <v>25</v>
      </c>
      <c r="Q42" s="46">
        <f>+Q41*0.02</f>
        <v>9.2200000000000004E-2</v>
      </c>
      <c r="S42" s="24">
        <f>+O42*Q42*12</f>
        <v>27.660000000000004</v>
      </c>
      <c r="T42" s="25">
        <f t="shared" si="19"/>
        <v>1.0638461538461539</v>
      </c>
      <c r="U42" s="25">
        <f>+T42/Start!$C$15</f>
        <v>3.0395604395604396E-2</v>
      </c>
      <c r="V42" s="25">
        <f>+U42/1000*Start!$C$18</f>
        <v>1.5197802197802198E-2</v>
      </c>
      <c r="W42" s="25">
        <f t="shared" si="1"/>
        <v>0</v>
      </c>
      <c r="X42" s="25" t="str">
        <f t="shared" si="2"/>
        <v/>
      </c>
      <c r="Y42" s="25" t="str">
        <f>IF(I42="Strom",T42/Q42/(Start!$C$15),"")</f>
        <v/>
      </c>
      <c r="Z42" s="25" t="str">
        <f t="shared" si="3"/>
        <v/>
      </c>
    </row>
    <row r="43" spans="1:26" ht="15" customHeight="1">
      <c r="A43" s="17">
        <v>42</v>
      </c>
      <c r="B43" s="18" t="s">
        <v>63</v>
      </c>
      <c r="C43" s="18" t="s">
        <v>6</v>
      </c>
      <c r="D43" s="17" t="s">
        <v>230</v>
      </c>
      <c r="E43" s="17" t="s">
        <v>230</v>
      </c>
      <c r="F43" s="17" t="s">
        <v>230</v>
      </c>
      <c r="G43" s="19" t="s">
        <v>97</v>
      </c>
      <c r="H43" s="20" t="s">
        <v>48</v>
      </c>
      <c r="I43" s="18" t="s">
        <v>17</v>
      </c>
      <c r="J43" s="19" t="s">
        <v>67</v>
      </c>
      <c r="K43" s="19" t="str">
        <f>_xlfn.XLOOKUP(L43,Values!$A$137:$A$140,Values!$B$137:$B$140)</f>
        <v>26 bis 70</v>
      </c>
      <c r="L43" s="51">
        <v>26</v>
      </c>
      <c r="M43" s="18" t="s">
        <v>10</v>
      </c>
      <c r="N43" s="48"/>
      <c r="O43" s="49">
        <f>SUM(R23:R42)/2</f>
        <v>4686.7670588235296</v>
      </c>
      <c r="P43" s="18"/>
      <c r="Q43" s="50">
        <v>0.03</v>
      </c>
      <c r="S43" s="24">
        <f>+O43*Q43</f>
        <v>140.60301176470588</v>
      </c>
      <c r="T43" s="25">
        <f t="shared" si="19"/>
        <v>5.4078081447963804</v>
      </c>
      <c r="U43" s="25">
        <f>+T43/Start!$C$15</f>
        <v>0.15450880413703943</v>
      </c>
      <c r="V43" s="25">
        <f>+U43/1000*Start!$C$18</f>
        <v>7.7254402068519717E-2</v>
      </c>
      <c r="W43" s="25">
        <f t="shared" si="1"/>
        <v>0</v>
      </c>
      <c r="X43" s="25" t="str">
        <f t="shared" si="2"/>
        <v/>
      </c>
      <c r="Y43" s="25" t="str">
        <f>IF(I43="Strom",T43/Q43/(Start!$C$15),"")</f>
        <v/>
      </c>
      <c r="Z43" s="25" t="str">
        <f t="shared" si="3"/>
        <v/>
      </c>
    </row>
    <row r="44" spans="1:26" ht="15" customHeight="1">
      <c r="A44" s="17">
        <v>43</v>
      </c>
      <c r="B44" s="18" t="s">
        <v>63</v>
      </c>
      <c r="C44" s="18" t="s">
        <v>6</v>
      </c>
      <c r="D44" s="17" t="s">
        <v>230</v>
      </c>
      <c r="E44" s="17" t="s">
        <v>230</v>
      </c>
      <c r="F44" s="17" t="s">
        <v>230</v>
      </c>
      <c r="G44" s="19" t="s">
        <v>84</v>
      </c>
      <c r="H44" s="20" t="s">
        <v>86</v>
      </c>
      <c r="I44" s="18" t="s">
        <v>186</v>
      </c>
      <c r="K44" s="19" t="str">
        <f>_xlfn.XLOOKUP(L44,Values!$A$137:$A$140,Values!$B$137:$B$140)</f>
        <v>71 bis 149</v>
      </c>
      <c r="L44" s="52">
        <v>71</v>
      </c>
      <c r="M44" s="19" t="s">
        <v>5</v>
      </c>
      <c r="N44" s="22">
        <v>2</v>
      </c>
      <c r="Q44" s="28">
        <f>+$Q$2*0.93</f>
        <v>27.900000000000002</v>
      </c>
      <c r="S44" s="24">
        <f>+Q44/N44*L44</f>
        <v>990.45</v>
      </c>
      <c r="T44" s="25">
        <f>+S44/L44</f>
        <v>13.950000000000001</v>
      </c>
      <c r="U44" s="25">
        <f>+T44/Start!$C$15</f>
        <v>0.39857142857142858</v>
      </c>
      <c r="V44" s="25">
        <f>+U44/1000*Start!$C$18</f>
        <v>0.19928571428571429</v>
      </c>
      <c r="W44" s="25">
        <f t="shared" si="1"/>
        <v>0</v>
      </c>
      <c r="X44" s="25" t="str">
        <f t="shared" si="2"/>
        <v/>
      </c>
      <c r="Y44" s="25" t="str">
        <f>IF(I44="Strom",T44/Q44/(Start!$C$15),"")</f>
        <v/>
      </c>
      <c r="Z44" s="25" t="str">
        <f t="shared" si="3"/>
        <v/>
      </c>
    </row>
    <row r="45" spans="1:26" ht="15" customHeight="1">
      <c r="A45" s="17">
        <v>44</v>
      </c>
      <c r="B45" s="18" t="s">
        <v>63</v>
      </c>
      <c r="C45" s="18" t="s">
        <v>6</v>
      </c>
      <c r="D45" s="17" t="s">
        <v>230</v>
      </c>
      <c r="E45" s="17" t="s">
        <v>230</v>
      </c>
      <c r="F45" s="17" t="s">
        <v>230</v>
      </c>
      <c r="G45" s="19" t="s">
        <v>97</v>
      </c>
      <c r="H45" s="20" t="s">
        <v>3</v>
      </c>
      <c r="I45" s="18" t="s">
        <v>152</v>
      </c>
      <c r="K45" s="19" t="str">
        <f>_xlfn.XLOOKUP(L45,Values!$A$137:$A$140,Values!$B$137:$B$140)</f>
        <v>71 bis 149</v>
      </c>
      <c r="L45" s="52">
        <v>71</v>
      </c>
      <c r="M45" s="19" t="s">
        <v>5</v>
      </c>
      <c r="N45" s="22">
        <v>15</v>
      </c>
      <c r="Q45" s="28">
        <f>+$Q$3*0.93</f>
        <v>255.75</v>
      </c>
      <c r="R45" s="26">
        <f>+Q45*L45/(1-Start!$C$16)</f>
        <v>21362.647058823532</v>
      </c>
      <c r="S45" s="24">
        <f>+R45/N45</f>
        <v>1424.1764705882354</v>
      </c>
      <c r="T45" s="25">
        <f t="shared" ref="T45:T64" si="21">+S45/L45</f>
        <v>20.058823529411764</v>
      </c>
      <c r="U45" s="25">
        <f>+T45/Start!$C$15</f>
        <v>0.57310924369747895</v>
      </c>
      <c r="V45" s="25">
        <f>+U45/1000*Start!$C$18</f>
        <v>0.28655462184873948</v>
      </c>
      <c r="W45" s="25">
        <f t="shared" si="1"/>
        <v>300.88235294117652</v>
      </c>
      <c r="X45" s="25" t="str">
        <f t="shared" si="2"/>
        <v/>
      </c>
      <c r="Y45" s="25" t="str">
        <f>IF(I45="Strom",T45/Q45/(Start!$C$15),"")</f>
        <v/>
      </c>
      <c r="Z45" s="25" t="str">
        <f t="shared" si="3"/>
        <v/>
      </c>
    </row>
    <row r="46" spans="1:26" ht="15" customHeight="1">
      <c r="A46" s="17">
        <v>45</v>
      </c>
      <c r="B46" s="18" t="s">
        <v>63</v>
      </c>
      <c r="C46" s="18" t="s">
        <v>6</v>
      </c>
      <c r="D46" s="17" t="s">
        <v>230</v>
      </c>
      <c r="E46" s="17" t="s">
        <v>230</v>
      </c>
      <c r="F46" s="17" t="s">
        <v>230</v>
      </c>
      <c r="G46" s="19" t="s">
        <v>97</v>
      </c>
      <c r="H46" s="20" t="s">
        <v>3</v>
      </c>
      <c r="I46" s="18" t="s">
        <v>193</v>
      </c>
      <c r="J46" s="18"/>
      <c r="K46" s="19" t="str">
        <f>_xlfn.XLOOKUP(L46,Values!$A$137:$A$140,Values!$B$137:$B$140)</f>
        <v>71 bis 149</v>
      </c>
      <c r="L46" s="52">
        <v>71</v>
      </c>
      <c r="M46" s="19" t="s">
        <v>10</v>
      </c>
      <c r="N46" s="22">
        <v>10</v>
      </c>
      <c r="O46" s="19">
        <v>1</v>
      </c>
      <c r="Q46" s="23">
        <v>800</v>
      </c>
      <c r="R46" s="26">
        <f>+Q46*O46</f>
        <v>800</v>
      </c>
      <c r="S46" s="24">
        <f>+R46/N46</f>
        <v>80</v>
      </c>
      <c r="T46" s="25">
        <f t="shared" si="21"/>
        <v>1.1267605633802817</v>
      </c>
      <c r="U46" s="25">
        <f>+T46/Start!$C$15</f>
        <v>3.2193158953722337E-2</v>
      </c>
      <c r="V46" s="25">
        <f>+U46/1000*Start!$C$18</f>
        <v>1.6096579476861168E-2</v>
      </c>
      <c r="W46" s="25">
        <f t="shared" si="1"/>
        <v>11.267605633802816</v>
      </c>
      <c r="X46" s="25" t="str">
        <f t="shared" si="2"/>
        <v/>
      </c>
      <c r="Y46" s="25" t="str">
        <f>IF(I46="Strom",T46/Q46/(Start!$C$15),"")</f>
        <v/>
      </c>
      <c r="Z46" s="25" t="str">
        <f t="shared" si="3"/>
        <v/>
      </c>
    </row>
    <row r="47" spans="1:26" ht="15" customHeight="1">
      <c r="A47" s="17">
        <v>46</v>
      </c>
      <c r="B47" s="18" t="s">
        <v>63</v>
      </c>
      <c r="C47" s="18" t="s">
        <v>6</v>
      </c>
      <c r="D47" s="17" t="s">
        <v>230</v>
      </c>
      <c r="E47" s="17" t="s">
        <v>230</v>
      </c>
      <c r="F47" s="17" t="s">
        <v>230</v>
      </c>
      <c r="G47" s="19" t="s">
        <v>97</v>
      </c>
      <c r="H47" s="20" t="s">
        <v>3</v>
      </c>
      <c r="I47" s="18" t="s">
        <v>194</v>
      </c>
      <c r="J47" s="18"/>
      <c r="K47" s="19" t="str">
        <f>_xlfn.XLOOKUP(L47,Values!$A$137:$A$140,Values!$B$137:$B$140)</f>
        <v>71 bis 149</v>
      </c>
      <c r="L47" s="52">
        <v>71</v>
      </c>
      <c r="M47" s="19" t="s">
        <v>10</v>
      </c>
      <c r="N47" s="22">
        <v>11</v>
      </c>
      <c r="O47" s="19">
        <v>1</v>
      </c>
      <c r="Q47" s="23">
        <v>1600</v>
      </c>
      <c r="R47" s="26">
        <f>+Q47*O47</f>
        <v>1600</v>
      </c>
      <c r="S47" s="24">
        <f>+R47/N47</f>
        <v>145.45454545454547</v>
      </c>
      <c r="T47" s="25">
        <f t="shared" si="21"/>
        <v>2.0486555697823303</v>
      </c>
      <c r="U47" s="25">
        <f>+T47/Start!$C$15</f>
        <v>5.8533016279495149E-2</v>
      </c>
      <c r="V47" s="25">
        <f>+U47/1000*Start!$C$18</f>
        <v>2.9266508139747575E-2</v>
      </c>
      <c r="W47" s="25">
        <f t="shared" si="1"/>
        <v>22.535211267605632</v>
      </c>
      <c r="X47" s="25" t="str">
        <f t="shared" si="2"/>
        <v/>
      </c>
      <c r="Y47" s="25" t="str">
        <f>IF(I47="Strom",T47/Q47/(Start!$C$15),"")</f>
        <v/>
      </c>
      <c r="Z47" s="25" t="str">
        <f t="shared" si="3"/>
        <v/>
      </c>
    </row>
    <row r="48" spans="1:26" ht="15" customHeight="1">
      <c r="A48" s="17">
        <v>47</v>
      </c>
      <c r="B48" s="18" t="s">
        <v>63</v>
      </c>
      <c r="C48" s="18" t="s">
        <v>6</v>
      </c>
      <c r="D48" s="17" t="s">
        <v>230</v>
      </c>
      <c r="E48" s="17" t="s">
        <v>230</v>
      </c>
      <c r="F48" s="17" t="s">
        <v>230</v>
      </c>
      <c r="G48" s="19" t="s">
        <v>97</v>
      </c>
      <c r="H48" s="20" t="s">
        <v>3</v>
      </c>
      <c r="I48" s="20" t="s">
        <v>187</v>
      </c>
      <c r="J48" s="18"/>
      <c r="K48" s="19" t="str">
        <f>_xlfn.XLOOKUP(L48,Values!$A$137:$A$140,Values!$B$137:$B$140)</f>
        <v>71 bis 149</v>
      </c>
      <c r="L48" s="52">
        <v>71</v>
      </c>
      <c r="M48" s="18" t="s">
        <v>5</v>
      </c>
      <c r="N48" s="22">
        <v>15</v>
      </c>
      <c r="O48" s="27">
        <f>Start!$C$16+0.25</f>
        <v>0.4</v>
      </c>
      <c r="Q48" s="28">
        <f>+Q45*0.4</f>
        <v>102.30000000000001</v>
      </c>
      <c r="R48" s="26">
        <f>+Q48*L48*O48</f>
        <v>2905.3200000000006</v>
      </c>
      <c r="S48" s="24">
        <f>+R48/N48</f>
        <v>193.68800000000005</v>
      </c>
      <c r="T48" s="25">
        <f t="shared" si="21"/>
        <v>2.7280000000000006</v>
      </c>
      <c r="U48" s="25">
        <f>+T48/Start!$C$15</f>
        <v>7.7942857142857161E-2</v>
      </c>
      <c r="V48" s="25">
        <f>+U48/1000*Start!$C$18</f>
        <v>3.897142857142858E-2</v>
      </c>
      <c r="W48" s="25">
        <f t="shared" ref="W48:W49" si="22">+R48/L48</f>
        <v>40.920000000000009</v>
      </c>
      <c r="X48" s="25" t="str">
        <f t="shared" ref="X48:X49" si="23">IF(H48="Arbeit",S48/Q48/L48,"")</f>
        <v/>
      </c>
      <c r="Y48" s="25" t="str">
        <f>IF(I48="Strom",T48/Q48/(Start!$C$15),"")</f>
        <v/>
      </c>
      <c r="Z48" s="25" t="str">
        <f t="shared" ref="Z48:Z52" si="24">IF(H48="KFZ",U48/Q48,"")</f>
        <v/>
      </c>
    </row>
    <row r="49" spans="1:26" ht="15" customHeight="1">
      <c r="A49" s="17">
        <v>48</v>
      </c>
      <c r="B49" s="18" t="s">
        <v>63</v>
      </c>
      <c r="C49" s="18" t="s">
        <v>6</v>
      </c>
      <c r="D49" s="17" t="s">
        <v>230</v>
      </c>
      <c r="E49" s="17" t="s">
        <v>230</v>
      </c>
      <c r="F49" s="17" t="s">
        <v>230</v>
      </c>
      <c r="G49" s="19" t="s">
        <v>84</v>
      </c>
      <c r="H49" s="20" t="s">
        <v>86</v>
      </c>
      <c r="I49" s="18" t="s">
        <v>188</v>
      </c>
      <c r="J49" s="19" t="s">
        <v>62</v>
      </c>
      <c r="K49" s="19" t="str">
        <f>_xlfn.XLOOKUP(L49,Values!$A$137:$A$140,Values!$B$137:$B$140)</f>
        <v>71 bis 149</v>
      </c>
      <c r="L49" s="52">
        <v>71</v>
      </c>
      <c r="M49" s="19" t="s">
        <v>5</v>
      </c>
      <c r="N49" s="22">
        <v>1</v>
      </c>
      <c r="O49" s="29">
        <f>2*O48</f>
        <v>0.8</v>
      </c>
      <c r="Q49" s="30">
        <v>1.3</v>
      </c>
      <c r="R49" s="26"/>
      <c r="S49" s="24">
        <f>+(O49*Q49*L49)</f>
        <v>73.84</v>
      </c>
      <c r="T49" s="25">
        <f t="shared" si="21"/>
        <v>1.04</v>
      </c>
      <c r="U49" s="25">
        <f>+T49/Start!$C$15</f>
        <v>2.9714285714285714E-2</v>
      </c>
      <c r="V49" s="25">
        <f>+U49/1000*Start!$C$18</f>
        <v>1.4857142857142857E-2</v>
      </c>
      <c r="W49" s="25">
        <f t="shared" si="22"/>
        <v>0</v>
      </c>
      <c r="X49" s="25" t="str">
        <f t="shared" si="23"/>
        <v/>
      </c>
      <c r="Y49" s="25" t="str">
        <f>IF(I49="Strom",T49/Q49/(Start!$C$15),"")</f>
        <v/>
      </c>
      <c r="Z49" s="25" t="str">
        <f t="shared" si="24"/>
        <v/>
      </c>
    </row>
    <row r="50" spans="1:26" ht="15" customHeight="1">
      <c r="A50" s="17">
        <v>49</v>
      </c>
      <c r="B50" s="18" t="s">
        <v>63</v>
      </c>
      <c r="C50" s="18" t="s">
        <v>6</v>
      </c>
      <c r="D50" s="17" t="s">
        <v>230</v>
      </c>
      <c r="E50" s="17" t="s">
        <v>230</v>
      </c>
      <c r="F50" s="17" t="s">
        <v>230</v>
      </c>
      <c r="G50" s="19" t="s">
        <v>84</v>
      </c>
      <c r="H50" s="20" t="s">
        <v>86</v>
      </c>
      <c r="I50" s="18" t="s">
        <v>189</v>
      </c>
      <c r="K50" s="19" t="str">
        <f>_xlfn.XLOOKUP(L50,Values!$A$137:$A$140,Values!$B$137:$B$140)</f>
        <v>71 bis 149</v>
      </c>
      <c r="L50" s="52">
        <v>71</v>
      </c>
      <c r="M50" s="19" t="s">
        <v>5</v>
      </c>
      <c r="N50" s="22">
        <v>1</v>
      </c>
      <c r="O50" s="19">
        <f>1*O48</f>
        <v>0.4</v>
      </c>
      <c r="Q50" s="28">
        <f>+Q44</f>
        <v>27.900000000000002</v>
      </c>
      <c r="S50" s="24">
        <f>+(O50*Q50*L50)</f>
        <v>792.36000000000013</v>
      </c>
      <c r="T50" s="25">
        <f>+S50/L50</f>
        <v>11.160000000000002</v>
      </c>
      <c r="U50" s="25">
        <f>+T50/Start!$C$15</f>
        <v>0.31885714285714289</v>
      </c>
      <c r="V50" s="25">
        <f>+U50/1000*Start!$C$18</f>
        <v>0.15942857142857145</v>
      </c>
      <c r="W50" s="25">
        <f>+R50/L50</f>
        <v>0</v>
      </c>
      <c r="X50" s="25" t="str">
        <f>IF(H50="Arbeit",S50/Q50/L50,"")</f>
        <v/>
      </c>
      <c r="Y50" s="25" t="str">
        <f>IF(I50="Strom",T50/Q50/(Start!$C$15),"")</f>
        <v/>
      </c>
      <c r="Z50" s="25" t="str">
        <f t="shared" si="24"/>
        <v/>
      </c>
    </row>
    <row r="51" spans="1:26" ht="15" customHeight="1">
      <c r="A51" s="17">
        <v>50</v>
      </c>
      <c r="B51" s="18" t="s">
        <v>63</v>
      </c>
      <c r="C51" s="18" t="s">
        <v>6</v>
      </c>
      <c r="D51" s="17" t="s">
        <v>230</v>
      </c>
      <c r="E51" s="17" t="s">
        <v>230</v>
      </c>
      <c r="F51" s="17" t="s">
        <v>230</v>
      </c>
      <c r="G51" s="19" t="s">
        <v>84</v>
      </c>
      <c r="H51" s="20" t="s">
        <v>86</v>
      </c>
      <c r="I51" s="18" t="s">
        <v>191</v>
      </c>
      <c r="K51" s="19" t="str">
        <f>_xlfn.XLOOKUP(L51,Values!$A$137:$A$140,Values!$B$137:$B$140)</f>
        <v>71 bis 149</v>
      </c>
      <c r="L51" s="52">
        <v>71</v>
      </c>
      <c r="M51" s="19" t="s">
        <v>5</v>
      </c>
      <c r="O51" s="31">
        <f>10*O50</f>
        <v>4</v>
      </c>
      <c r="P51" s="32"/>
      <c r="Q51" s="33">
        <f>+Start!$C$25</f>
        <v>1.8</v>
      </c>
      <c r="S51" s="24">
        <f>+(O51*Q51*L51)</f>
        <v>511.2</v>
      </c>
      <c r="T51" s="25">
        <f t="shared" ref="T51:T52" si="25">+S51/L51</f>
        <v>7.2</v>
      </c>
      <c r="U51" s="25">
        <f>+T51/Start!$C$15</f>
        <v>0.20571428571428571</v>
      </c>
      <c r="V51" s="25">
        <f>+U51/1000*Start!$C$18</f>
        <v>0.10285714285714286</v>
      </c>
      <c r="W51" s="25">
        <f t="shared" ref="W51:W52" si="26">+R51/L51</f>
        <v>0</v>
      </c>
      <c r="X51" s="25" t="str">
        <f t="shared" ref="X51" si="27">IF(H51="Arbeit",S51/Q51/L51,"")</f>
        <v/>
      </c>
      <c r="Y51" s="25" t="str">
        <f>IF(I51="Strom",T51/Q51/(Start!$C$15),"")</f>
        <v/>
      </c>
      <c r="Z51" s="25" t="str">
        <f t="shared" si="24"/>
        <v/>
      </c>
    </row>
    <row r="52" spans="1:26" ht="15" customHeight="1">
      <c r="A52" s="17">
        <v>51</v>
      </c>
      <c r="B52" s="18" t="s">
        <v>63</v>
      </c>
      <c r="C52" s="18" t="s">
        <v>6</v>
      </c>
      <c r="D52" s="17" t="s">
        <v>230</v>
      </c>
      <c r="E52" s="17" t="s">
        <v>230</v>
      </c>
      <c r="F52" s="17" t="s">
        <v>230</v>
      </c>
      <c r="G52" s="19" t="s">
        <v>97</v>
      </c>
      <c r="H52" s="20" t="s">
        <v>0</v>
      </c>
      <c r="I52" s="34" t="s">
        <v>192</v>
      </c>
      <c r="K52" s="19" t="str">
        <f>_xlfn.XLOOKUP(L52,Values!$A$137:$A$140,Values!$B$137:$B$140)</f>
        <v>71 bis 149</v>
      </c>
      <c r="L52" s="52">
        <v>71</v>
      </c>
      <c r="M52" s="19" t="s">
        <v>5</v>
      </c>
      <c r="O52" s="35">
        <f>5*O48</f>
        <v>2</v>
      </c>
      <c r="P52" s="36">
        <v>5</v>
      </c>
      <c r="Q52" s="37">
        <f>+Start!$C$29</f>
        <v>14</v>
      </c>
      <c r="S52" s="24">
        <f>+O52*P52/60*Q52*L52</f>
        <v>165.66666666666666</v>
      </c>
      <c r="T52" s="25">
        <f t="shared" si="25"/>
        <v>2.333333333333333</v>
      </c>
      <c r="U52" s="25">
        <f>+T52/Start!$C$15</f>
        <v>6.6666666666666652E-2</v>
      </c>
      <c r="V52" s="25">
        <f>+U52/1000*Start!$C$18</f>
        <v>3.3333333333333326E-2</v>
      </c>
      <c r="W52" s="25">
        <f t="shared" si="26"/>
        <v>0</v>
      </c>
      <c r="X52" s="25">
        <f>IF(H52="Arbeit",S52/Q52/L52,"")</f>
        <v>0.16666666666666666</v>
      </c>
      <c r="Y52" s="25" t="str">
        <f>IF(I52="Strom",T52/Q52/(Start!$C$15),"")</f>
        <v/>
      </c>
      <c r="Z52" s="25" t="str">
        <f t="shared" si="24"/>
        <v/>
      </c>
    </row>
    <row r="53" spans="1:26" ht="15" customHeight="1">
      <c r="A53" s="17">
        <v>52</v>
      </c>
      <c r="B53" s="18" t="s">
        <v>63</v>
      </c>
      <c r="C53" s="18" t="s">
        <v>6</v>
      </c>
      <c r="D53" s="17" t="s">
        <v>230</v>
      </c>
      <c r="E53" s="17" t="s">
        <v>230</v>
      </c>
      <c r="F53" s="17" t="s">
        <v>230</v>
      </c>
      <c r="G53" s="19" t="s">
        <v>84</v>
      </c>
      <c r="H53" s="20" t="s">
        <v>86</v>
      </c>
      <c r="I53" s="18" t="s">
        <v>54</v>
      </c>
      <c r="J53" s="19" t="s">
        <v>62</v>
      </c>
      <c r="K53" s="19" t="str">
        <f>_xlfn.XLOOKUP(L53,Values!$A$137:$A$140,Values!$B$137:$B$140)</f>
        <v>71 bis 149</v>
      </c>
      <c r="L53" s="52">
        <v>71</v>
      </c>
      <c r="M53" s="19" t="s">
        <v>5</v>
      </c>
      <c r="N53" s="22"/>
      <c r="O53" s="38">
        <v>2</v>
      </c>
      <c r="Q53" s="28">
        <f>+$Q$11*1</f>
        <v>1.3</v>
      </c>
      <c r="R53" s="26"/>
      <c r="S53" s="24">
        <f>+(O53*Q53*L53/(1-Start!$C$16))</f>
        <v>217.1764705882353</v>
      </c>
      <c r="T53" s="25">
        <f t="shared" si="21"/>
        <v>3.0588235294117649</v>
      </c>
      <c r="U53" s="25">
        <f>+T53/Start!$C$15</f>
        <v>8.7394957983193286E-2</v>
      </c>
      <c r="V53" s="25">
        <f>+U53/1000*Start!$C$18</f>
        <v>4.3697478991596643E-2</v>
      </c>
      <c r="W53" s="25">
        <f t="shared" si="1"/>
        <v>0</v>
      </c>
      <c r="X53" s="25" t="str">
        <f t="shared" si="2"/>
        <v/>
      </c>
      <c r="Y53" s="25" t="str">
        <f>IF(I53="Strom",T53/Q53/(Start!$C$15),"")</f>
        <v/>
      </c>
      <c r="Z53" s="25" t="str">
        <f t="shared" si="3"/>
        <v/>
      </c>
    </row>
    <row r="54" spans="1:26" ht="15" customHeight="1">
      <c r="A54" s="17">
        <v>53</v>
      </c>
      <c r="B54" s="18" t="s">
        <v>63</v>
      </c>
      <c r="C54" s="18" t="s">
        <v>6</v>
      </c>
      <c r="D54" s="17" t="s">
        <v>230</v>
      </c>
      <c r="E54" s="17" t="s">
        <v>230</v>
      </c>
      <c r="F54" s="17" t="s">
        <v>230</v>
      </c>
      <c r="G54" s="19" t="s">
        <v>84</v>
      </c>
      <c r="H54" s="20" t="s">
        <v>86</v>
      </c>
      <c r="I54" s="18" t="s">
        <v>102</v>
      </c>
      <c r="K54" s="19" t="str">
        <f>_xlfn.XLOOKUP(L54,Values!$A$137:$A$140,Values!$B$137:$B$140)</f>
        <v>71 bis 149</v>
      </c>
      <c r="L54" s="52">
        <v>71</v>
      </c>
      <c r="M54" s="19" t="s">
        <v>10</v>
      </c>
      <c r="N54" s="22">
        <v>10</v>
      </c>
      <c r="Q54" s="23">
        <v>600</v>
      </c>
      <c r="R54" s="39"/>
      <c r="S54" s="24">
        <f>+Q54/N54</f>
        <v>60</v>
      </c>
      <c r="T54" s="25">
        <f t="shared" si="21"/>
        <v>0.84507042253521125</v>
      </c>
      <c r="U54" s="25">
        <f>+T54/Start!$C$15</f>
        <v>2.4144869215291749E-2</v>
      </c>
      <c r="V54" s="25">
        <f>+U54/1000*Start!$C$18</f>
        <v>1.2072434607645875E-2</v>
      </c>
      <c r="W54" s="25">
        <f t="shared" si="1"/>
        <v>0</v>
      </c>
      <c r="X54" s="25" t="str">
        <f t="shared" si="2"/>
        <v/>
      </c>
      <c r="Y54" s="25" t="str">
        <f>IF(I54="Strom",T54/Q54/(Start!$C$15),"")</f>
        <v/>
      </c>
      <c r="Z54" s="25" t="str">
        <f t="shared" si="3"/>
        <v/>
      </c>
    </row>
    <row r="55" spans="1:26" ht="15" customHeight="1">
      <c r="A55" s="17">
        <v>54</v>
      </c>
      <c r="B55" s="18" t="s">
        <v>63</v>
      </c>
      <c r="C55" s="18" t="s">
        <v>6</v>
      </c>
      <c r="D55" s="17" t="s">
        <v>230</v>
      </c>
      <c r="E55" s="17" t="s">
        <v>230</v>
      </c>
      <c r="F55" s="17" t="s">
        <v>230</v>
      </c>
      <c r="G55" s="19" t="s">
        <v>84</v>
      </c>
      <c r="H55" s="20" t="s">
        <v>86</v>
      </c>
      <c r="I55" s="18" t="s">
        <v>18</v>
      </c>
      <c r="K55" s="19" t="str">
        <f>_xlfn.XLOOKUP(L55,Values!$A$137:$A$140,Values!$B$137:$B$140)</f>
        <v>71 bis 149</v>
      </c>
      <c r="L55" s="52">
        <v>71</v>
      </c>
      <c r="M55" s="19" t="s">
        <v>10</v>
      </c>
      <c r="N55" s="22">
        <v>5</v>
      </c>
      <c r="Q55" s="23">
        <v>200</v>
      </c>
      <c r="R55" s="39"/>
      <c r="S55" s="24">
        <f>+Q55/N55</f>
        <v>40</v>
      </c>
      <c r="T55" s="25">
        <f t="shared" si="21"/>
        <v>0.56338028169014087</v>
      </c>
      <c r="U55" s="25">
        <f>+T55/Start!$C$15</f>
        <v>1.6096579476861168E-2</v>
      </c>
      <c r="V55" s="25">
        <f>+U55/1000*Start!$C$18</f>
        <v>8.0482897384305842E-3</v>
      </c>
      <c r="W55" s="25">
        <f t="shared" si="1"/>
        <v>0</v>
      </c>
      <c r="X55" s="25" t="str">
        <f t="shared" si="2"/>
        <v/>
      </c>
      <c r="Y55" s="25" t="str">
        <f>IF(I55="Strom",T55/Q55/(Start!$C$15),"")</f>
        <v/>
      </c>
      <c r="Z55" s="25" t="str">
        <f t="shared" si="3"/>
        <v/>
      </c>
    </row>
    <row r="56" spans="1:26" ht="15" customHeight="1">
      <c r="A56" s="17">
        <v>55</v>
      </c>
      <c r="B56" s="18" t="s">
        <v>63</v>
      </c>
      <c r="C56" s="18" t="s">
        <v>6</v>
      </c>
      <c r="D56" s="17" t="s">
        <v>230</v>
      </c>
      <c r="E56" s="17" t="s">
        <v>230</v>
      </c>
      <c r="F56" s="17" t="s">
        <v>230</v>
      </c>
      <c r="G56" s="19" t="s">
        <v>84</v>
      </c>
      <c r="H56" s="20" t="s">
        <v>86</v>
      </c>
      <c r="I56" s="18" t="s">
        <v>14</v>
      </c>
      <c r="J56" s="19" t="s">
        <v>38</v>
      </c>
      <c r="K56" s="19" t="str">
        <f>_xlfn.XLOOKUP(L56,Values!$A$137:$A$140,Values!$B$137:$B$140)</f>
        <v>71 bis 149</v>
      </c>
      <c r="L56" s="52">
        <v>71</v>
      </c>
      <c r="M56" s="19" t="s">
        <v>5</v>
      </c>
      <c r="O56" s="31">
        <f>+Start!$C$26</f>
        <v>15</v>
      </c>
      <c r="P56" s="32"/>
      <c r="Q56" s="33">
        <f>+Start!$C$25</f>
        <v>1.8</v>
      </c>
      <c r="S56" s="24">
        <f>+Start!$C$26*Start!$C$25*L56/(1-Start!$C$16)</f>
        <v>2255.294117647059</v>
      </c>
      <c r="T56" s="25">
        <f t="shared" si="21"/>
        <v>31.764705882352946</v>
      </c>
      <c r="U56" s="25">
        <f>+T56/Start!$C$15</f>
        <v>0.90756302521008414</v>
      </c>
      <c r="V56" s="25">
        <f>+U56/1000*Start!$C$18</f>
        <v>0.45378151260504207</v>
      </c>
      <c r="W56" s="25">
        <f t="shared" si="1"/>
        <v>0</v>
      </c>
      <c r="X56" s="25" t="str">
        <f t="shared" si="2"/>
        <v/>
      </c>
      <c r="Y56" s="25" t="str">
        <f>IF(I56="Strom",T56/Q56/(Start!$C$15),"")</f>
        <v/>
      </c>
      <c r="Z56" s="25" t="str">
        <f t="shared" si="3"/>
        <v/>
      </c>
    </row>
    <row r="57" spans="1:26" ht="15" customHeight="1">
      <c r="A57" s="17">
        <v>56</v>
      </c>
      <c r="B57" s="18" t="s">
        <v>63</v>
      </c>
      <c r="C57" s="18" t="s">
        <v>6</v>
      </c>
      <c r="D57" s="17" t="s">
        <v>230</v>
      </c>
      <c r="E57" s="17" t="s">
        <v>230</v>
      </c>
      <c r="F57" s="17" t="s">
        <v>230</v>
      </c>
      <c r="G57" s="19" t="s">
        <v>97</v>
      </c>
      <c r="H57" s="20" t="s">
        <v>47</v>
      </c>
      <c r="I57" s="18" t="s">
        <v>19</v>
      </c>
      <c r="J57" s="18" t="s">
        <v>154</v>
      </c>
      <c r="K57" s="19" t="str">
        <f>_xlfn.XLOOKUP(L57,Values!$A$137:$A$140,Values!$B$137:$B$140)</f>
        <v>71 bis 149</v>
      </c>
      <c r="L57" s="52">
        <v>71</v>
      </c>
      <c r="M57" s="19" t="s">
        <v>10</v>
      </c>
      <c r="O57" s="40">
        <f>ROUNDUP(L57/20,0)*10</f>
        <v>40</v>
      </c>
      <c r="P57" s="32"/>
      <c r="Q57" s="41">
        <f>0.35+0.17</f>
        <v>0.52</v>
      </c>
      <c r="S57" s="42">
        <f>+Start!$C$13*2*O57*Q57</f>
        <v>41.6</v>
      </c>
      <c r="T57" s="25">
        <f t="shared" si="21"/>
        <v>0.58591549295774648</v>
      </c>
      <c r="U57" s="25">
        <f>+T57/Start!$C$15</f>
        <v>1.6740442655935613E-2</v>
      </c>
      <c r="V57" s="25">
        <f>+U57/1000*Start!$C$18</f>
        <v>8.3702213279678063E-3</v>
      </c>
      <c r="W57" s="25">
        <f t="shared" si="1"/>
        <v>0</v>
      </c>
      <c r="X57" s="25" t="str">
        <f t="shared" si="2"/>
        <v/>
      </c>
      <c r="Y57" s="25" t="str">
        <f>IF(I57="Strom",T57/Q57/(Start!$C$15),"")</f>
        <v/>
      </c>
      <c r="Z57" s="25">
        <f t="shared" si="3"/>
        <v>3.219315895372233E-2</v>
      </c>
    </row>
    <row r="58" spans="1:26" ht="15" customHeight="1">
      <c r="A58" s="17">
        <v>57</v>
      </c>
      <c r="B58" s="18" t="s">
        <v>63</v>
      </c>
      <c r="C58" s="18" t="s">
        <v>6</v>
      </c>
      <c r="D58" s="17" t="s">
        <v>230</v>
      </c>
      <c r="E58" s="17" t="s">
        <v>230</v>
      </c>
      <c r="F58" s="17" t="s">
        <v>230</v>
      </c>
      <c r="G58" s="19" t="s">
        <v>97</v>
      </c>
      <c r="H58" s="20" t="s">
        <v>0</v>
      </c>
      <c r="I58" s="34" t="s">
        <v>32</v>
      </c>
      <c r="K58" s="19" t="str">
        <f>_xlfn.XLOOKUP(L58,Values!$A$137:$A$140,Values!$B$137:$B$140)</f>
        <v>71 bis 149</v>
      </c>
      <c r="L58" s="52">
        <v>71</v>
      </c>
      <c r="M58" s="19" t="s">
        <v>5</v>
      </c>
      <c r="O58" s="40">
        <v>10</v>
      </c>
      <c r="P58" s="36">
        <v>10</v>
      </c>
      <c r="Q58" s="37">
        <f>+Start!$C$29</f>
        <v>14</v>
      </c>
      <c r="S58" s="24">
        <f>+O58*P58/60*Q58*L58/(1-Start!$C$16)</f>
        <v>1949.0196078431375</v>
      </c>
      <c r="T58" s="25">
        <f t="shared" si="21"/>
        <v>27.450980392156865</v>
      </c>
      <c r="U58" s="25">
        <f>+T58/Start!$C$15</f>
        <v>0.78431372549019618</v>
      </c>
      <c r="V58" s="25">
        <f>+U58/1000*Start!$C$18</f>
        <v>0.39215686274509809</v>
      </c>
      <c r="W58" s="25">
        <f t="shared" si="1"/>
        <v>0</v>
      </c>
      <c r="X58" s="25">
        <f t="shared" si="2"/>
        <v>1.9607843137254903</v>
      </c>
      <c r="Y58" s="25" t="str">
        <f>IF(I58="Strom",T58/Q58/(Start!$C$15),"")</f>
        <v/>
      </c>
      <c r="Z58" s="25" t="str">
        <f t="shared" si="3"/>
        <v/>
      </c>
    </row>
    <row r="59" spans="1:26" ht="15" customHeight="1">
      <c r="A59" s="17">
        <v>58</v>
      </c>
      <c r="B59" s="18" t="s">
        <v>63</v>
      </c>
      <c r="C59" s="18" t="s">
        <v>6</v>
      </c>
      <c r="D59" s="17" t="s">
        <v>230</v>
      </c>
      <c r="E59" s="17" t="s">
        <v>230</v>
      </c>
      <c r="F59" s="17" t="s">
        <v>230</v>
      </c>
      <c r="G59" s="19" t="s">
        <v>97</v>
      </c>
      <c r="H59" s="20" t="s">
        <v>0</v>
      </c>
      <c r="I59" s="34" t="s">
        <v>95</v>
      </c>
      <c r="K59" s="19" t="str">
        <f>_xlfn.XLOOKUP(L59,Values!$A$137:$A$140,Values!$B$137:$B$140)</f>
        <v>71 bis 149</v>
      </c>
      <c r="L59" s="52">
        <v>71</v>
      </c>
      <c r="M59" s="19" t="s">
        <v>10</v>
      </c>
      <c r="O59" s="40">
        <f t="shared" ref="O59:O60" si="28">ROUNDUP(L59/20,0)*10</f>
        <v>40</v>
      </c>
      <c r="P59" s="36">
        <v>15</v>
      </c>
      <c r="Q59" s="37">
        <f>+Start!$C$29</f>
        <v>14</v>
      </c>
      <c r="S59" s="24">
        <f>+O59*P59/60*Q59</f>
        <v>140</v>
      </c>
      <c r="T59" s="25">
        <f t="shared" si="21"/>
        <v>1.971830985915493</v>
      </c>
      <c r="U59" s="25">
        <f>+T59/Start!$C$15</f>
        <v>5.6338028169014086E-2</v>
      </c>
      <c r="V59" s="25">
        <f>+U59/1000*Start!$C$18</f>
        <v>2.8169014084507043E-2</v>
      </c>
      <c r="W59" s="25">
        <f t="shared" si="1"/>
        <v>0</v>
      </c>
      <c r="X59" s="25">
        <f t="shared" si="2"/>
        <v>0.14084507042253522</v>
      </c>
      <c r="Y59" s="25" t="str">
        <f>IF(I59="Strom",T59/Q59/(Start!$C$15),"")</f>
        <v/>
      </c>
      <c r="Z59" s="25" t="str">
        <f t="shared" si="3"/>
        <v/>
      </c>
    </row>
    <row r="60" spans="1:26" ht="15" customHeight="1">
      <c r="A60" s="17">
        <v>59</v>
      </c>
      <c r="B60" s="18" t="s">
        <v>63</v>
      </c>
      <c r="C60" s="18" t="s">
        <v>6</v>
      </c>
      <c r="D60" s="17" t="s">
        <v>230</v>
      </c>
      <c r="E60" s="17" t="s">
        <v>230</v>
      </c>
      <c r="F60" s="17" t="s">
        <v>230</v>
      </c>
      <c r="G60" s="19" t="s">
        <v>97</v>
      </c>
      <c r="H60" s="20" t="s">
        <v>0</v>
      </c>
      <c r="I60" s="34" t="s">
        <v>96</v>
      </c>
      <c r="K60" s="19" t="str">
        <f>_xlfn.XLOOKUP(L60,Values!$A$137:$A$140,Values!$B$137:$B$140)</f>
        <v>71 bis 149</v>
      </c>
      <c r="L60" s="52">
        <v>71</v>
      </c>
      <c r="M60" s="19" t="s">
        <v>10</v>
      </c>
      <c r="O60" s="40">
        <f t="shared" si="28"/>
        <v>40</v>
      </c>
      <c r="P60" s="36">
        <f>(+Start!$C$13*2)/60*60</f>
        <v>2</v>
      </c>
      <c r="Q60" s="37">
        <f>+Start!$C$29</f>
        <v>14</v>
      </c>
      <c r="S60" s="24">
        <f>+O60*P60/60*Q60</f>
        <v>18.666666666666664</v>
      </c>
      <c r="T60" s="25">
        <f t="shared" si="21"/>
        <v>0.26291079812206569</v>
      </c>
      <c r="U60" s="25">
        <f>+T60/Start!$C$15</f>
        <v>7.5117370892018769E-3</v>
      </c>
      <c r="V60" s="25">
        <f>+U60/1000*Start!$C$18</f>
        <v>3.7558685446009384E-3</v>
      </c>
      <c r="W60" s="25">
        <f t="shared" si="1"/>
        <v>0</v>
      </c>
      <c r="X60" s="25">
        <f t="shared" si="2"/>
        <v>1.8779342723004695E-2</v>
      </c>
      <c r="Y60" s="25" t="str">
        <f>IF(I60="Strom",T60/Q60/(Start!$C$15),"")</f>
        <v/>
      </c>
      <c r="Z60" s="25" t="str">
        <f t="shared" si="3"/>
        <v/>
      </c>
    </row>
    <row r="61" spans="1:26" ht="15" customHeight="1">
      <c r="A61" s="17">
        <v>60</v>
      </c>
      <c r="B61" s="18" t="s">
        <v>63</v>
      </c>
      <c r="C61" s="18" t="s">
        <v>6</v>
      </c>
      <c r="D61" s="17" t="s">
        <v>230</v>
      </c>
      <c r="E61" s="17" t="s">
        <v>230</v>
      </c>
      <c r="F61" s="17" t="s">
        <v>230</v>
      </c>
      <c r="G61" s="19" t="s">
        <v>97</v>
      </c>
      <c r="H61" s="18" t="s">
        <v>117</v>
      </c>
      <c r="I61" s="18" t="s">
        <v>117</v>
      </c>
      <c r="J61" s="19" t="s">
        <v>116</v>
      </c>
      <c r="K61" s="19" t="str">
        <f>_xlfn.XLOOKUP(L61,Values!$A$137:$A$140,Values!$B$137:$B$140)</f>
        <v>71 bis 149</v>
      </c>
      <c r="L61" s="52">
        <v>71</v>
      </c>
      <c r="M61" s="19" t="s">
        <v>10</v>
      </c>
      <c r="O61" s="37"/>
      <c r="P61" s="37"/>
      <c r="Q61" s="43">
        <f>+Start!$C$30</f>
        <v>0.28999999999999998</v>
      </c>
      <c r="S61" s="24">
        <f>(+S58+S59+S60+S52)*Q61</f>
        <v>659.27235294117634</v>
      </c>
      <c r="T61" s="25">
        <f t="shared" si="21"/>
        <v>9.2855260977630465</v>
      </c>
      <c r="U61" s="25">
        <f>+T61/Start!$C$15</f>
        <v>0.26530074565037276</v>
      </c>
      <c r="V61" s="25">
        <f>+U61/1000*Start!$C$18</f>
        <v>0.13265037282518638</v>
      </c>
      <c r="W61" s="25">
        <f t="shared" si="1"/>
        <v>0</v>
      </c>
      <c r="X61" s="25" t="str">
        <f t="shared" si="2"/>
        <v/>
      </c>
      <c r="Y61" s="25" t="str">
        <f>IF(I61="Strom",T61/Q61/(Start!$C$15),"")</f>
        <v/>
      </c>
      <c r="Z61" s="25" t="str">
        <f t="shared" si="3"/>
        <v/>
      </c>
    </row>
    <row r="62" spans="1:26" ht="15" customHeight="1">
      <c r="A62" s="17">
        <v>61</v>
      </c>
      <c r="B62" s="18" t="s">
        <v>63</v>
      </c>
      <c r="C62" s="18" t="s">
        <v>6</v>
      </c>
      <c r="D62" s="17" t="s">
        <v>230</v>
      </c>
      <c r="E62" s="17" t="s">
        <v>230</v>
      </c>
      <c r="F62" s="17" t="s">
        <v>230</v>
      </c>
      <c r="G62" s="19" t="s">
        <v>97</v>
      </c>
      <c r="H62" s="20" t="s">
        <v>16</v>
      </c>
      <c r="I62" s="18" t="s">
        <v>16</v>
      </c>
      <c r="J62" s="19" t="s">
        <v>21</v>
      </c>
      <c r="K62" s="19" t="str">
        <f>_xlfn.XLOOKUP(L62,Values!$A$137:$A$140,Values!$B$137:$B$140)</f>
        <v>71 bis 149</v>
      </c>
      <c r="L62" s="52">
        <v>71</v>
      </c>
      <c r="M62" s="19" t="s">
        <v>10</v>
      </c>
      <c r="N62" s="44">
        <v>1</v>
      </c>
      <c r="O62" s="45">
        <v>90</v>
      </c>
      <c r="Q62" s="46">
        <f>+Start!$C$31</f>
        <v>4.6100000000000003</v>
      </c>
      <c r="S62" s="24">
        <f>+O62*Q62*12</f>
        <v>4978.8</v>
      </c>
      <c r="T62" s="25">
        <f t="shared" si="21"/>
        <v>70.123943661971836</v>
      </c>
      <c r="U62" s="25">
        <f>+T62/Start!$C$15</f>
        <v>2.0035412474849097</v>
      </c>
      <c r="V62" s="25">
        <f>+U62/1000*Start!$C$18</f>
        <v>1.0017706237424548</v>
      </c>
      <c r="W62" s="25">
        <f t="shared" si="1"/>
        <v>0</v>
      </c>
      <c r="X62" s="25" t="str">
        <f t="shared" si="2"/>
        <v/>
      </c>
      <c r="Y62" s="25" t="str">
        <f>IF(I62="Strom",T62/Q62/(Start!$C$15),"")</f>
        <v/>
      </c>
      <c r="Z62" s="25" t="str">
        <f t="shared" si="3"/>
        <v/>
      </c>
    </row>
    <row r="63" spans="1:26" ht="15" customHeight="1">
      <c r="A63" s="17">
        <v>62</v>
      </c>
      <c r="B63" s="18" t="s">
        <v>63</v>
      </c>
      <c r="C63" s="18" t="s">
        <v>6</v>
      </c>
      <c r="D63" s="17" t="s">
        <v>230</v>
      </c>
      <c r="E63" s="17" t="s">
        <v>230</v>
      </c>
      <c r="F63" s="17" t="s">
        <v>230</v>
      </c>
      <c r="G63" s="19" t="s">
        <v>97</v>
      </c>
      <c r="H63" s="20" t="s">
        <v>16</v>
      </c>
      <c r="I63" s="18" t="s">
        <v>101</v>
      </c>
      <c r="J63" s="19" t="s">
        <v>21</v>
      </c>
      <c r="K63" s="19" t="str">
        <f>_xlfn.XLOOKUP(L63,Values!$A$137:$A$140,Values!$B$137:$B$140)</f>
        <v>71 bis 149</v>
      </c>
      <c r="L63" s="52">
        <v>71</v>
      </c>
      <c r="M63" s="19" t="s">
        <v>10</v>
      </c>
      <c r="N63" s="44">
        <v>1</v>
      </c>
      <c r="O63" s="47">
        <f>+O62</f>
        <v>90</v>
      </c>
      <c r="Q63" s="46">
        <f>+Q62*0.02</f>
        <v>9.2200000000000004E-2</v>
      </c>
      <c r="S63" s="24">
        <f>+O63*Q63*12</f>
        <v>99.575999999999993</v>
      </c>
      <c r="T63" s="25">
        <f t="shared" si="21"/>
        <v>1.4024788732394364</v>
      </c>
      <c r="U63" s="25">
        <f>+T63/Start!$C$15</f>
        <v>4.0070824949698186E-2</v>
      </c>
      <c r="V63" s="25">
        <f>+U63/1000*Start!$C$18</f>
        <v>2.0035412474849093E-2</v>
      </c>
      <c r="W63" s="25">
        <f t="shared" si="1"/>
        <v>0</v>
      </c>
      <c r="X63" s="25" t="str">
        <f t="shared" si="2"/>
        <v/>
      </c>
      <c r="Y63" s="25" t="str">
        <f>IF(I63="Strom",T63/Q63/(Start!$C$15),"")</f>
        <v/>
      </c>
      <c r="Z63" s="25" t="str">
        <f t="shared" si="3"/>
        <v/>
      </c>
    </row>
    <row r="64" spans="1:26" ht="15" customHeight="1">
      <c r="A64" s="17">
        <v>63</v>
      </c>
      <c r="B64" s="18" t="s">
        <v>63</v>
      </c>
      <c r="C64" s="18" t="s">
        <v>6</v>
      </c>
      <c r="D64" s="17" t="s">
        <v>230</v>
      </c>
      <c r="E64" s="17" t="s">
        <v>230</v>
      </c>
      <c r="F64" s="17" t="s">
        <v>230</v>
      </c>
      <c r="G64" s="19" t="s">
        <v>97</v>
      </c>
      <c r="H64" s="20" t="s">
        <v>48</v>
      </c>
      <c r="I64" s="18" t="s">
        <v>17</v>
      </c>
      <c r="J64" s="19" t="s">
        <v>67</v>
      </c>
      <c r="K64" s="19" t="str">
        <f>_xlfn.XLOOKUP(L64,Values!$A$137:$A$140,Values!$B$137:$B$140)</f>
        <v>71 bis 149</v>
      </c>
      <c r="L64" s="52">
        <v>71</v>
      </c>
      <c r="M64" s="18" t="s">
        <v>10</v>
      </c>
      <c r="N64" s="48"/>
      <c r="O64" s="49">
        <f>SUM(R44:R63)/2</f>
        <v>13333.983529411766</v>
      </c>
      <c r="P64" s="18"/>
      <c r="Q64" s="50">
        <v>0.03</v>
      </c>
      <c r="S64" s="24">
        <f>+O64*Q64</f>
        <v>400.01950588235297</v>
      </c>
      <c r="T64" s="25">
        <f t="shared" si="21"/>
        <v>5.6340775476387739</v>
      </c>
      <c r="U64" s="25">
        <f>+T64/Start!$C$15</f>
        <v>0.16097364421825069</v>
      </c>
      <c r="V64" s="25">
        <f>+U64/1000*Start!$C$18</f>
        <v>8.0486822109125347E-2</v>
      </c>
      <c r="W64" s="25">
        <f t="shared" si="1"/>
        <v>0</v>
      </c>
      <c r="X64" s="25" t="str">
        <f t="shared" si="2"/>
        <v/>
      </c>
      <c r="Y64" s="25" t="str">
        <f>IF(I64="Strom",T64/Q64/(Start!$C$15),"")</f>
        <v/>
      </c>
      <c r="Z64" s="25" t="str">
        <f t="shared" si="3"/>
        <v/>
      </c>
    </row>
    <row r="65" spans="1:26" ht="15" customHeight="1">
      <c r="A65" s="17">
        <v>64</v>
      </c>
      <c r="B65" s="18" t="s">
        <v>63</v>
      </c>
      <c r="C65" s="18" t="s">
        <v>6</v>
      </c>
      <c r="D65" s="17" t="s">
        <v>230</v>
      </c>
      <c r="E65" s="17" t="s">
        <v>230</v>
      </c>
      <c r="F65" s="17" t="s">
        <v>230</v>
      </c>
      <c r="G65" s="19" t="s">
        <v>84</v>
      </c>
      <c r="H65" s="20" t="s">
        <v>86</v>
      </c>
      <c r="I65" s="18" t="s">
        <v>186</v>
      </c>
      <c r="K65" s="19" t="str">
        <f>_xlfn.XLOOKUP(L65,Values!$A$137:$A$140,Values!$B$137:$B$140)</f>
        <v>150 und mehr</v>
      </c>
      <c r="L65" s="53">
        <v>150</v>
      </c>
      <c r="M65" s="19" t="s">
        <v>5</v>
      </c>
      <c r="N65" s="22">
        <v>2</v>
      </c>
      <c r="Q65" s="28">
        <f>+$Q$2*0.9</f>
        <v>27</v>
      </c>
      <c r="S65" s="24">
        <f>+Q65/N65*L65</f>
        <v>2025</v>
      </c>
      <c r="T65" s="25">
        <f>+S65/L65</f>
        <v>13.5</v>
      </c>
      <c r="U65" s="25">
        <f>+T65/Start!$C$15</f>
        <v>0.38571428571428573</v>
      </c>
      <c r="V65" s="25">
        <f>+U65/1000*Start!$C$18</f>
        <v>0.19285714285714287</v>
      </c>
      <c r="W65" s="25">
        <f t="shared" si="1"/>
        <v>0</v>
      </c>
      <c r="X65" s="25" t="str">
        <f t="shared" si="2"/>
        <v/>
      </c>
      <c r="Y65" s="25" t="str">
        <f>IF(I65="Strom",T65/Q65/(Start!$C$15),"")</f>
        <v/>
      </c>
      <c r="Z65" s="25" t="str">
        <f t="shared" si="3"/>
        <v/>
      </c>
    </row>
    <row r="66" spans="1:26" ht="15" customHeight="1">
      <c r="A66" s="17">
        <v>65</v>
      </c>
      <c r="B66" s="18" t="s">
        <v>63</v>
      </c>
      <c r="C66" s="18" t="s">
        <v>6</v>
      </c>
      <c r="D66" s="17" t="s">
        <v>230</v>
      </c>
      <c r="E66" s="17" t="s">
        <v>230</v>
      </c>
      <c r="F66" s="17" t="s">
        <v>230</v>
      </c>
      <c r="G66" s="19" t="s">
        <v>97</v>
      </c>
      <c r="H66" s="20" t="s">
        <v>3</v>
      </c>
      <c r="I66" s="18" t="s">
        <v>152</v>
      </c>
      <c r="K66" s="19" t="str">
        <f>_xlfn.XLOOKUP(L66,Values!$A$137:$A$140,Values!$B$137:$B$140)</f>
        <v>150 und mehr</v>
      </c>
      <c r="L66" s="53">
        <v>150</v>
      </c>
      <c r="M66" s="19" t="s">
        <v>5</v>
      </c>
      <c r="N66" s="22">
        <v>15</v>
      </c>
      <c r="Q66" s="28">
        <f>+$Q$3*0.9</f>
        <v>247.5</v>
      </c>
      <c r="R66" s="26">
        <f>+Q66*L66/(1-Start!$C$16)</f>
        <v>43676.470588235294</v>
      </c>
      <c r="S66" s="24">
        <f>+R66/N66</f>
        <v>2911.7647058823527</v>
      </c>
      <c r="T66" s="25">
        <f t="shared" ref="T66:T85" si="29">+S66/L66</f>
        <v>19.411764705882351</v>
      </c>
      <c r="U66" s="25">
        <f>+T66/Start!$C$15</f>
        <v>0.55462184873949572</v>
      </c>
      <c r="V66" s="25">
        <f>+U66/1000*Start!$C$18</f>
        <v>0.27731092436974786</v>
      </c>
      <c r="W66" s="25">
        <f t="shared" si="1"/>
        <v>291.1764705882353</v>
      </c>
      <c r="X66" s="25" t="str">
        <f t="shared" si="2"/>
        <v/>
      </c>
      <c r="Y66" s="25" t="str">
        <f>IF(I66="Strom",T66/Q66/(Start!$C$15),"")</f>
        <v/>
      </c>
      <c r="Z66" s="25" t="str">
        <f t="shared" si="3"/>
        <v/>
      </c>
    </row>
    <row r="67" spans="1:26" ht="15" customHeight="1">
      <c r="A67" s="17">
        <v>66</v>
      </c>
      <c r="B67" s="18" t="s">
        <v>63</v>
      </c>
      <c r="C67" s="18" t="s">
        <v>6</v>
      </c>
      <c r="D67" s="17" t="s">
        <v>230</v>
      </c>
      <c r="E67" s="17" t="s">
        <v>230</v>
      </c>
      <c r="F67" s="17" t="s">
        <v>230</v>
      </c>
      <c r="G67" s="19" t="s">
        <v>97</v>
      </c>
      <c r="H67" s="20" t="s">
        <v>3</v>
      </c>
      <c r="I67" s="18" t="s">
        <v>193</v>
      </c>
      <c r="J67" s="18"/>
      <c r="K67" s="19" t="str">
        <f>_xlfn.XLOOKUP(L67,Values!$A$137:$A$140,Values!$B$137:$B$140)</f>
        <v>150 und mehr</v>
      </c>
      <c r="L67" s="53">
        <v>150</v>
      </c>
      <c r="M67" s="19" t="s">
        <v>10</v>
      </c>
      <c r="N67" s="22">
        <v>10</v>
      </c>
      <c r="O67" s="19">
        <v>2</v>
      </c>
      <c r="Q67" s="23">
        <v>800</v>
      </c>
      <c r="R67" s="26">
        <f>+Q67*O67</f>
        <v>1600</v>
      </c>
      <c r="S67" s="24">
        <f>+R67/N67</f>
        <v>160</v>
      </c>
      <c r="T67" s="25">
        <f t="shared" ref="T67:T68" si="30">+S67/L67</f>
        <v>1.0666666666666667</v>
      </c>
      <c r="U67" s="25">
        <f>+T67/Start!$C$15</f>
        <v>3.0476190476190476E-2</v>
      </c>
      <c r="V67" s="25">
        <f>+U67/1000*Start!$C$18</f>
        <v>1.5238095238095238E-2</v>
      </c>
      <c r="W67" s="25">
        <f t="shared" ref="W67:W68" si="31">+R67/L67</f>
        <v>10.666666666666666</v>
      </c>
      <c r="X67" s="25" t="str">
        <f t="shared" ref="X67:X68" si="32">IF(H67="Arbeit",S67/Q67/L67,"")</f>
        <v/>
      </c>
      <c r="Y67" s="25" t="str">
        <f>IF(I67="Strom",T67/Q67/(Start!$C$15),"")</f>
        <v/>
      </c>
      <c r="Z67" s="25" t="str">
        <f t="shared" ref="Z67:Z68" si="33">IF(H67="KFZ",U67/Q67,"")</f>
        <v/>
      </c>
    </row>
    <row r="68" spans="1:26" ht="15" customHeight="1">
      <c r="A68" s="17">
        <v>67</v>
      </c>
      <c r="B68" s="18" t="s">
        <v>63</v>
      </c>
      <c r="C68" s="18" t="s">
        <v>6</v>
      </c>
      <c r="D68" s="17" t="s">
        <v>230</v>
      </c>
      <c r="E68" s="17" t="s">
        <v>230</v>
      </c>
      <c r="F68" s="17" t="s">
        <v>230</v>
      </c>
      <c r="G68" s="19" t="s">
        <v>97</v>
      </c>
      <c r="H68" s="20" t="s">
        <v>3</v>
      </c>
      <c r="I68" s="18" t="s">
        <v>194</v>
      </c>
      <c r="J68" s="18"/>
      <c r="K68" s="19" t="str">
        <f>_xlfn.XLOOKUP(L68,Values!$A$137:$A$140,Values!$B$137:$B$140)</f>
        <v>150 und mehr</v>
      </c>
      <c r="L68" s="53">
        <v>150</v>
      </c>
      <c r="M68" s="19" t="s">
        <v>10</v>
      </c>
      <c r="N68" s="22">
        <v>11</v>
      </c>
      <c r="O68" s="19">
        <v>1</v>
      </c>
      <c r="Q68" s="23">
        <v>4399</v>
      </c>
      <c r="R68" s="26">
        <f>+Q68*O68</f>
        <v>4399</v>
      </c>
      <c r="S68" s="24">
        <f>+R68/N68</f>
        <v>399.90909090909093</v>
      </c>
      <c r="T68" s="25">
        <f t="shared" si="30"/>
        <v>2.666060606060606</v>
      </c>
      <c r="U68" s="25">
        <f>+T68/Start!$C$15</f>
        <v>7.617316017316017E-2</v>
      </c>
      <c r="V68" s="25">
        <f>+U68/1000*Start!$C$18</f>
        <v>3.8086580086580085E-2</v>
      </c>
      <c r="W68" s="25">
        <f t="shared" si="31"/>
        <v>29.326666666666668</v>
      </c>
      <c r="X68" s="25" t="str">
        <f t="shared" si="32"/>
        <v/>
      </c>
      <c r="Y68" s="25" t="str">
        <f>IF(I68="Strom",T68/Q68/(Start!$C$15),"")</f>
        <v/>
      </c>
      <c r="Z68" s="25" t="str">
        <f t="shared" si="33"/>
        <v/>
      </c>
    </row>
    <row r="69" spans="1:26" ht="15" customHeight="1">
      <c r="A69" s="17">
        <v>68</v>
      </c>
      <c r="B69" s="18" t="s">
        <v>63</v>
      </c>
      <c r="C69" s="18" t="s">
        <v>6</v>
      </c>
      <c r="D69" s="17" t="s">
        <v>230</v>
      </c>
      <c r="E69" s="17" t="s">
        <v>230</v>
      </c>
      <c r="F69" s="17" t="s">
        <v>230</v>
      </c>
      <c r="G69" s="19" t="s">
        <v>97</v>
      </c>
      <c r="H69" s="20" t="s">
        <v>3</v>
      </c>
      <c r="I69" s="20" t="s">
        <v>187</v>
      </c>
      <c r="J69" s="18"/>
      <c r="K69" s="19" t="str">
        <f>_xlfn.XLOOKUP(L69,Values!$A$137:$A$140,Values!$B$137:$B$140)</f>
        <v>150 und mehr</v>
      </c>
      <c r="L69" s="53">
        <v>150</v>
      </c>
      <c r="M69" s="18" t="s">
        <v>5</v>
      </c>
      <c r="N69" s="22">
        <v>15</v>
      </c>
      <c r="O69" s="27">
        <f>Start!$C$16+0.25</f>
        <v>0.4</v>
      </c>
      <c r="Q69" s="28">
        <f>+Q66*0.4</f>
        <v>99</v>
      </c>
      <c r="R69" s="26">
        <f>+Q69*L69*O69</f>
        <v>5940</v>
      </c>
      <c r="S69" s="24">
        <f>+R69/N69</f>
        <v>396</v>
      </c>
      <c r="T69" s="25">
        <f t="shared" si="29"/>
        <v>2.64</v>
      </c>
      <c r="U69" s="25">
        <f>+T69/Start!$C$15</f>
        <v>7.5428571428571428E-2</v>
      </c>
      <c r="V69" s="25">
        <f>+U69/1000*Start!$C$18</f>
        <v>3.7714285714285714E-2</v>
      </c>
      <c r="W69" s="25">
        <f t="shared" si="1"/>
        <v>39.6</v>
      </c>
      <c r="X69" s="25" t="str">
        <f t="shared" si="2"/>
        <v/>
      </c>
      <c r="Y69" s="25" t="str">
        <f>IF(I69="Strom",T69/Q69/(Start!$C$15),"")</f>
        <v/>
      </c>
      <c r="Z69" s="25" t="str">
        <f t="shared" si="3"/>
        <v/>
      </c>
    </row>
    <row r="70" spans="1:26" ht="15" customHeight="1">
      <c r="A70" s="17">
        <v>69</v>
      </c>
      <c r="B70" s="18" t="s">
        <v>63</v>
      </c>
      <c r="C70" s="18" t="s">
        <v>6</v>
      </c>
      <c r="D70" s="17" t="s">
        <v>230</v>
      </c>
      <c r="E70" s="17" t="s">
        <v>230</v>
      </c>
      <c r="F70" s="17" t="s">
        <v>230</v>
      </c>
      <c r="G70" s="19" t="s">
        <v>84</v>
      </c>
      <c r="H70" s="20" t="s">
        <v>86</v>
      </c>
      <c r="I70" s="18" t="s">
        <v>188</v>
      </c>
      <c r="J70" s="19" t="s">
        <v>62</v>
      </c>
      <c r="K70" s="19" t="str">
        <f>_xlfn.XLOOKUP(L70,Values!$A$137:$A$140,Values!$B$137:$B$140)</f>
        <v>150 und mehr</v>
      </c>
      <c r="L70" s="53">
        <v>150</v>
      </c>
      <c r="M70" s="19" t="s">
        <v>5</v>
      </c>
      <c r="N70" s="22">
        <v>1</v>
      </c>
      <c r="O70" s="29">
        <f>2*O69</f>
        <v>0.8</v>
      </c>
      <c r="Q70" s="30">
        <v>1.3</v>
      </c>
      <c r="R70" s="26"/>
      <c r="S70" s="24">
        <f>+(O70*Q70*L70)</f>
        <v>156</v>
      </c>
      <c r="T70" s="25">
        <f t="shared" si="29"/>
        <v>1.04</v>
      </c>
      <c r="U70" s="25">
        <f>+T70/Start!$C$15</f>
        <v>2.9714285714285714E-2</v>
      </c>
      <c r="V70" s="25">
        <f>+U70/1000*Start!$C$18</f>
        <v>1.4857142857142857E-2</v>
      </c>
      <c r="W70" s="25">
        <f t="shared" si="1"/>
        <v>0</v>
      </c>
      <c r="X70" s="25" t="str">
        <f t="shared" si="2"/>
        <v/>
      </c>
      <c r="Y70" s="25" t="str">
        <f>IF(I70="Strom",T70/Q70/(Start!$C$15),"")</f>
        <v/>
      </c>
      <c r="Z70" s="25" t="str">
        <f t="shared" si="3"/>
        <v/>
      </c>
    </row>
    <row r="71" spans="1:26" ht="15" customHeight="1">
      <c r="A71" s="17">
        <v>70</v>
      </c>
      <c r="B71" s="18" t="s">
        <v>63</v>
      </c>
      <c r="C71" s="18" t="s">
        <v>6</v>
      </c>
      <c r="D71" s="17" t="s">
        <v>230</v>
      </c>
      <c r="E71" s="17" t="s">
        <v>230</v>
      </c>
      <c r="F71" s="17" t="s">
        <v>230</v>
      </c>
      <c r="G71" s="19" t="s">
        <v>84</v>
      </c>
      <c r="H71" s="20" t="s">
        <v>86</v>
      </c>
      <c r="I71" s="18" t="s">
        <v>189</v>
      </c>
      <c r="K71" s="19" t="str">
        <f>_xlfn.XLOOKUP(L71,Values!$A$137:$A$140,Values!$B$137:$B$140)</f>
        <v>150 und mehr</v>
      </c>
      <c r="L71" s="53">
        <v>150</v>
      </c>
      <c r="M71" s="19" t="s">
        <v>5</v>
      </c>
      <c r="N71" s="22">
        <v>1</v>
      </c>
      <c r="O71" s="19">
        <f>1*O69</f>
        <v>0.4</v>
      </c>
      <c r="Q71" s="28">
        <f>+Q65</f>
        <v>27</v>
      </c>
      <c r="S71" s="24">
        <f>+(O71*Q71*L71)</f>
        <v>1620</v>
      </c>
      <c r="T71" s="25">
        <f>+S71/L71</f>
        <v>10.8</v>
      </c>
      <c r="U71" s="25">
        <f>+T71/Start!$C$15</f>
        <v>0.30857142857142861</v>
      </c>
      <c r="V71" s="25">
        <f>+U71/1000*Start!$C$18</f>
        <v>0.1542857142857143</v>
      </c>
      <c r="W71" s="25">
        <f>+R71/L71</f>
        <v>0</v>
      </c>
      <c r="X71" s="25" t="str">
        <f>IF(H71="Arbeit",S71/Q71/L71,"")</f>
        <v/>
      </c>
      <c r="Y71" s="25" t="str">
        <f>IF(I71="Strom",T71/Q71/(Start!$C$15),"")</f>
        <v/>
      </c>
      <c r="Z71" s="25" t="str">
        <f t="shared" si="3"/>
        <v/>
      </c>
    </row>
    <row r="72" spans="1:26" ht="15" customHeight="1">
      <c r="A72" s="17">
        <v>71</v>
      </c>
      <c r="B72" s="18" t="s">
        <v>63</v>
      </c>
      <c r="C72" s="18" t="s">
        <v>6</v>
      </c>
      <c r="D72" s="17" t="s">
        <v>230</v>
      </c>
      <c r="E72" s="17" t="s">
        <v>230</v>
      </c>
      <c r="F72" s="17" t="s">
        <v>230</v>
      </c>
      <c r="G72" s="19" t="s">
        <v>84</v>
      </c>
      <c r="H72" s="20" t="s">
        <v>86</v>
      </c>
      <c r="I72" s="18" t="s">
        <v>191</v>
      </c>
      <c r="K72" s="19" t="str">
        <f>_xlfn.XLOOKUP(L72,Values!$A$137:$A$140,Values!$B$137:$B$140)</f>
        <v>150 und mehr</v>
      </c>
      <c r="L72" s="53">
        <v>150</v>
      </c>
      <c r="M72" s="19" t="s">
        <v>5</v>
      </c>
      <c r="O72" s="31">
        <f>10*O71</f>
        <v>4</v>
      </c>
      <c r="P72" s="32"/>
      <c r="Q72" s="33">
        <f>+Start!$C$25</f>
        <v>1.8</v>
      </c>
      <c r="S72" s="24">
        <f>+(O72*Q72*L72)</f>
        <v>1080</v>
      </c>
      <c r="T72" s="25">
        <f t="shared" ref="T72:T73" si="34">+S72/L72</f>
        <v>7.2</v>
      </c>
      <c r="U72" s="25">
        <f>+T72/Start!$C$15</f>
        <v>0.20571428571428571</v>
      </c>
      <c r="V72" s="25">
        <f>+U72/1000*Start!$C$18</f>
        <v>0.10285714285714286</v>
      </c>
      <c r="W72" s="25">
        <f t="shared" ref="W72:W73" si="35">+R72/L72</f>
        <v>0</v>
      </c>
      <c r="X72" s="25" t="str">
        <f t="shared" ref="X72" si="36">IF(H72="Arbeit",S72/Q72/L72,"")</f>
        <v/>
      </c>
      <c r="Y72" s="25" t="str">
        <f>IF(I72="Strom",T72/Q72/(Start!$C$15),"")</f>
        <v/>
      </c>
      <c r="Z72" s="25" t="str">
        <f t="shared" si="3"/>
        <v/>
      </c>
    </row>
    <row r="73" spans="1:26" ht="15" customHeight="1">
      <c r="A73" s="17">
        <v>72</v>
      </c>
      <c r="B73" s="18" t="s">
        <v>63</v>
      </c>
      <c r="C73" s="18" t="s">
        <v>6</v>
      </c>
      <c r="D73" s="17" t="s">
        <v>230</v>
      </c>
      <c r="E73" s="17" t="s">
        <v>230</v>
      </c>
      <c r="F73" s="17" t="s">
        <v>230</v>
      </c>
      <c r="G73" s="19" t="s">
        <v>97</v>
      </c>
      <c r="H73" s="20" t="s">
        <v>0</v>
      </c>
      <c r="I73" s="34" t="s">
        <v>192</v>
      </c>
      <c r="K73" s="19" t="str">
        <f>_xlfn.XLOOKUP(L73,Values!$A$137:$A$140,Values!$B$137:$B$140)</f>
        <v>150 und mehr</v>
      </c>
      <c r="L73" s="53">
        <v>150</v>
      </c>
      <c r="M73" s="19" t="s">
        <v>5</v>
      </c>
      <c r="O73" s="35">
        <f>5*O69</f>
        <v>2</v>
      </c>
      <c r="P73" s="36">
        <v>5</v>
      </c>
      <c r="Q73" s="37">
        <f>+Start!$C$29</f>
        <v>14</v>
      </c>
      <c r="S73" s="24">
        <f>+O73*P73/60*Q73*L73</f>
        <v>349.99999999999994</v>
      </c>
      <c r="T73" s="25">
        <f t="shared" si="34"/>
        <v>2.333333333333333</v>
      </c>
      <c r="U73" s="25">
        <f>+T73/Start!$C$15</f>
        <v>6.6666666666666652E-2</v>
      </c>
      <c r="V73" s="25">
        <f>+U73/1000*Start!$C$18</f>
        <v>3.3333333333333326E-2</v>
      </c>
      <c r="W73" s="25">
        <f t="shared" si="35"/>
        <v>0</v>
      </c>
      <c r="X73" s="25">
        <f>IF(H73="Arbeit",S73/Q73/L73,"")</f>
        <v>0.16666666666666663</v>
      </c>
      <c r="Y73" s="25" t="str">
        <f>IF(I73="Strom",T73/Q73/(Start!$C$15),"")</f>
        <v/>
      </c>
      <c r="Z73" s="25" t="str">
        <f t="shared" si="3"/>
        <v/>
      </c>
    </row>
    <row r="74" spans="1:26" ht="15" customHeight="1">
      <c r="A74" s="17">
        <v>73</v>
      </c>
      <c r="B74" s="18" t="s">
        <v>63</v>
      </c>
      <c r="C74" s="18" t="s">
        <v>6</v>
      </c>
      <c r="D74" s="17" t="s">
        <v>230</v>
      </c>
      <c r="E74" s="17" t="s">
        <v>230</v>
      </c>
      <c r="F74" s="17" t="s">
        <v>230</v>
      </c>
      <c r="G74" s="19" t="s">
        <v>84</v>
      </c>
      <c r="H74" s="20" t="s">
        <v>86</v>
      </c>
      <c r="I74" s="18" t="s">
        <v>54</v>
      </c>
      <c r="J74" s="19" t="s">
        <v>62</v>
      </c>
      <c r="K74" s="19" t="str">
        <f>_xlfn.XLOOKUP(L74,Values!$A$137:$A$140,Values!$B$137:$B$140)</f>
        <v>150 und mehr</v>
      </c>
      <c r="L74" s="53">
        <v>150</v>
      </c>
      <c r="M74" s="19" t="s">
        <v>5</v>
      </c>
      <c r="N74" s="22"/>
      <c r="O74" s="38">
        <v>2</v>
      </c>
      <c r="Q74" s="28">
        <f>+$Q$11*1</f>
        <v>1.3</v>
      </c>
      <c r="R74" s="26"/>
      <c r="S74" s="24">
        <f>+(O74*Q74*L74/(1-Start!$C$16))</f>
        <v>458.8235294117647</v>
      </c>
      <c r="T74" s="25">
        <f t="shared" si="29"/>
        <v>3.0588235294117645</v>
      </c>
      <c r="U74" s="25">
        <f>+T74/Start!$C$15</f>
        <v>8.7394957983193272E-2</v>
      </c>
      <c r="V74" s="25">
        <f>+U74/1000*Start!$C$18</f>
        <v>4.3697478991596636E-2</v>
      </c>
      <c r="W74" s="25">
        <f t="shared" si="1"/>
        <v>0</v>
      </c>
      <c r="X74" s="25" t="str">
        <f t="shared" si="2"/>
        <v/>
      </c>
      <c r="Y74" s="25" t="str">
        <f>IF(I74="Strom",T74/Q74/(Start!$C$15),"")</f>
        <v/>
      </c>
      <c r="Z74" s="25" t="str">
        <f t="shared" si="3"/>
        <v/>
      </c>
    </row>
    <row r="75" spans="1:26" ht="15" customHeight="1">
      <c r="A75" s="17">
        <v>74</v>
      </c>
      <c r="B75" s="18" t="s">
        <v>63</v>
      </c>
      <c r="C75" s="18" t="s">
        <v>6</v>
      </c>
      <c r="D75" s="17" t="s">
        <v>230</v>
      </c>
      <c r="E75" s="17" t="s">
        <v>230</v>
      </c>
      <c r="F75" s="17" t="s">
        <v>230</v>
      </c>
      <c r="G75" s="19" t="s">
        <v>84</v>
      </c>
      <c r="H75" s="20" t="s">
        <v>86</v>
      </c>
      <c r="I75" s="18" t="s">
        <v>102</v>
      </c>
      <c r="K75" s="19" t="str">
        <f>_xlfn.XLOOKUP(L75,Values!$A$137:$A$140,Values!$B$137:$B$140)</f>
        <v>150 und mehr</v>
      </c>
      <c r="L75" s="53">
        <v>150</v>
      </c>
      <c r="M75" s="19" t="s">
        <v>10</v>
      </c>
      <c r="N75" s="22">
        <v>10</v>
      </c>
      <c r="Q75" s="23">
        <v>1200</v>
      </c>
      <c r="R75" s="39"/>
      <c r="S75" s="24">
        <f>+Q75/N75</f>
        <v>120</v>
      </c>
      <c r="T75" s="25">
        <f t="shared" si="29"/>
        <v>0.8</v>
      </c>
      <c r="U75" s="25">
        <f>+T75/Start!$C$15</f>
        <v>2.2857142857142857E-2</v>
      </c>
      <c r="V75" s="25">
        <f>+U75/1000*Start!$C$18</f>
        <v>1.1428571428571429E-2</v>
      </c>
      <c r="W75" s="25">
        <f t="shared" si="1"/>
        <v>0</v>
      </c>
      <c r="X75" s="25" t="str">
        <f t="shared" si="2"/>
        <v/>
      </c>
      <c r="Y75" s="25" t="str">
        <f>IF(I75="Strom",T75/Q75/(Start!$C$15),"")</f>
        <v/>
      </c>
      <c r="Z75" s="25" t="str">
        <f t="shared" si="3"/>
        <v/>
      </c>
    </row>
    <row r="76" spans="1:26" ht="15" customHeight="1">
      <c r="A76" s="17">
        <v>75</v>
      </c>
      <c r="B76" s="18" t="s">
        <v>63</v>
      </c>
      <c r="C76" s="18" t="s">
        <v>6</v>
      </c>
      <c r="D76" s="17" t="s">
        <v>230</v>
      </c>
      <c r="E76" s="17" t="s">
        <v>230</v>
      </c>
      <c r="F76" s="17" t="s">
        <v>230</v>
      </c>
      <c r="G76" s="19" t="s">
        <v>84</v>
      </c>
      <c r="H76" s="20" t="s">
        <v>86</v>
      </c>
      <c r="I76" s="18" t="s">
        <v>18</v>
      </c>
      <c r="K76" s="19" t="str">
        <f>_xlfn.XLOOKUP(L76,Values!$A$137:$A$140,Values!$B$137:$B$140)</f>
        <v>150 und mehr</v>
      </c>
      <c r="L76" s="53">
        <v>150</v>
      </c>
      <c r="M76" s="19" t="s">
        <v>10</v>
      </c>
      <c r="N76" s="22">
        <v>5</v>
      </c>
      <c r="Q76" s="23">
        <v>300</v>
      </c>
      <c r="R76" s="39"/>
      <c r="S76" s="24">
        <f>+Q76/N76</f>
        <v>60</v>
      </c>
      <c r="T76" s="25">
        <f t="shared" si="29"/>
        <v>0.4</v>
      </c>
      <c r="U76" s="25">
        <f>+T76/Start!$C$15</f>
        <v>1.1428571428571429E-2</v>
      </c>
      <c r="V76" s="25">
        <f>+U76/1000*Start!$C$18</f>
        <v>5.7142857142857143E-3</v>
      </c>
      <c r="W76" s="25">
        <f t="shared" si="1"/>
        <v>0</v>
      </c>
      <c r="X76" s="25" t="str">
        <f t="shared" si="2"/>
        <v/>
      </c>
      <c r="Y76" s="25" t="str">
        <f>IF(I76="Strom",T76/Q76/(Start!$C$15),"")</f>
        <v/>
      </c>
      <c r="Z76" s="25" t="str">
        <f t="shared" si="3"/>
        <v/>
      </c>
    </row>
    <row r="77" spans="1:26" ht="15" customHeight="1">
      <c r="A77" s="17">
        <v>76</v>
      </c>
      <c r="B77" s="18" t="s">
        <v>63</v>
      </c>
      <c r="C77" s="18" t="s">
        <v>6</v>
      </c>
      <c r="D77" s="17" t="s">
        <v>230</v>
      </c>
      <c r="E77" s="17" t="s">
        <v>230</v>
      </c>
      <c r="F77" s="17" t="s">
        <v>230</v>
      </c>
      <c r="G77" s="19" t="s">
        <v>84</v>
      </c>
      <c r="H77" s="20" t="s">
        <v>86</v>
      </c>
      <c r="I77" s="18" t="s">
        <v>14</v>
      </c>
      <c r="J77" s="19" t="s">
        <v>38</v>
      </c>
      <c r="K77" s="19" t="str">
        <f>_xlfn.XLOOKUP(L77,Values!$A$137:$A$140,Values!$B$137:$B$140)</f>
        <v>150 und mehr</v>
      </c>
      <c r="L77" s="53">
        <v>150</v>
      </c>
      <c r="M77" s="19" t="s">
        <v>5</v>
      </c>
      <c r="O77" s="31">
        <f>+Start!$C$26</f>
        <v>15</v>
      </c>
      <c r="P77" s="32"/>
      <c r="Q77" s="33">
        <f>+Start!$C$25</f>
        <v>1.8</v>
      </c>
      <c r="S77" s="24">
        <f>+Start!$C$26*Start!$C$25*L77/(1-Start!$C$16)</f>
        <v>4764.7058823529414</v>
      </c>
      <c r="T77" s="25">
        <f t="shared" si="29"/>
        <v>31.764705882352942</v>
      </c>
      <c r="U77" s="25">
        <f>+T77/Start!$C$15</f>
        <v>0.90756302521008403</v>
      </c>
      <c r="V77" s="25">
        <f>+U77/1000*Start!$C$18</f>
        <v>0.45378151260504201</v>
      </c>
      <c r="W77" s="25">
        <f t="shared" si="1"/>
        <v>0</v>
      </c>
      <c r="X77" s="25" t="str">
        <f t="shared" si="2"/>
        <v/>
      </c>
      <c r="Y77" s="25" t="str">
        <f>IF(I77="Strom",T77/Q77/(Start!$C$15),"")</f>
        <v/>
      </c>
      <c r="Z77" s="25" t="str">
        <f t="shared" si="3"/>
        <v/>
      </c>
    </row>
    <row r="78" spans="1:26" ht="15" customHeight="1">
      <c r="A78" s="17">
        <v>77</v>
      </c>
      <c r="B78" s="18" t="s">
        <v>63</v>
      </c>
      <c r="C78" s="18" t="s">
        <v>6</v>
      </c>
      <c r="D78" s="17" t="s">
        <v>230</v>
      </c>
      <c r="E78" s="17" t="s">
        <v>230</v>
      </c>
      <c r="F78" s="17" t="s">
        <v>230</v>
      </c>
      <c r="G78" s="19" t="s">
        <v>97</v>
      </c>
      <c r="H78" s="20" t="s">
        <v>47</v>
      </c>
      <c r="I78" s="18" t="s">
        <v>19</v>
      </c>
      <c r="J78" s="18" t="s">
        <v>154</v>
      </c>
      <c r="K78" s="19" t="str">
        <f>_xlfn.XLOOKUP(L78,Values!$A$137:$A$140,Values!$B$137:$B$140)</f>
        <v>150 und mehr</v>
      </c>
      <c r="L78" s="53">
        <v>150</v>
      </c>
      <c r="M78" s="19" t="s">
        <v>10</v>
      </c>
      <c r="O78" s="40">
        <f>ROUNDUP(L78/20,0)*10</f>
        <v>80</v>
      </c>
      <c r="P78" s="32"/>
      <c r="Q78" s="41">
        <f>0.35+0.17</f>
        <v>0.52</v>
      </c>
      <c r="S78" s="42">
        <f>+Start!$C$13*2*O78*Q78</f>
        <v>83.2</v>
      </c>
      <c r="T78" s="25">
        <f t="shared" si="29"/>
        <v>0.55466666666666664</v>
      </c>
      <c r="U78" s="25">
        <f>+T78/Start!$C$15</f>
        <v>1.5847619047619048E-2</v>
      </c>
      <c r="V78" s="25">
        <f>+U78/1000*Start!$C$18</f>
        <v>7.9238095238095239E-3</v>
      </c>
      <c r="W78" s="25">
        <f t="shared" si="1"/>
        <v>0</v>
      </c>
      <c r="X78" s="25" t="str">
        <f t="shared" si="2"/>
        <v/>
      </c>
      <c r="Y78" s="25" t="str">
        <f>IF(I78="Strom",T78/Q78/(Start!$C$15),"")</f>
        <v/>
      </c>
      <c r="Z78" s="25">
        <f t="shared" si="3"/>
        <v>3.0476190476190476E-2</v>
      </c>
    </row>
    <row r="79" spans="1:26" ht="15" customHeight="1">
      <c r="A79" s="17">
        <v>78</v>
      </c>
      <c r="B79" s="18" t="s">
        <v>63</v>
      </c>
      <c r="C79" s="18" t="s">
        <v>6</v>
      </c>
      <c r="D79" s="17" t="s">
        <v>230</v>
      </c>
      <c r="E79" s="17" t="s">
        <v>230</v>
      </c>
      <c r="F79" s="17" t="s">
        <v>230</v>
      </c>
      <c r="G79" s="19" t="s">
        <v>97</v>
      </c>
      <c r="H79" s="20" t="s">
        <v>0</v>
      </c>
      <c r="I79" s="34" t="s">
        <v>32</v>
      </c>
      <c r="K79" s="19" t="str">
        <f>_xlfn.XLOOKUP(L79,Values!$A$137:$A$140,Values!$B$137:$B$140)</f>
        <v>150 und mehr</v>
      </c>
      <c r="L79" s="53">
        <v>150</v>
      </c>
      <c r="M79" s="19" t="s">
        <v>5</v>
      </c>
      <c r="O79" s="40">
        <v>10</v>
      </c>
      <c r="P79" s="36">
        <v>10</v>
      </c>
      <c r="Q79" s="37">
        <f>+Start!$C$29</f>
        <v>14</v>
      </c>
      <c r="S79" s="24">
        <f>+O79*P79/60*Q79*L79/(1-Start!$C$16)</f>
        <v>4117.6470588235297</v>
      </c>
      <c r="T79" s="25">
        <f t="shared" si="29"/>
        <v>27.450980392156865</v>
      </c>
      <c r="U79" s="25">
        <f>+T79/Start!$C$15</f>
        <v>0.78431372549019618</v>
      </c>
      <c r="V79" s="25">
        <f>+U79/1000*Start!$C$18</f>
        <v>0.39215686274509809</v>
      </c>
      <c r="W79" s="25">
        <f t="shared" si="1"/>
        <v>0</v>
      </c>
      <c r="X79" s="25">
        <f t="shared" si="2"/>
        <v>1.9607843137254903</v>
      </c>
      <c r="Y79" s="25" t="str">
        <f>IF(I79="Strom",T79/Q79/(Start!$C$15),"")</f>
        <v/>
      </c>
      <c r="Z79" s="25" t="str">
        <f t="shared" si="3"/>
        <v/>
      </c>
    </row>
    <row r="80" spans="1:26" ht="15" customHeight="1">
      <c r="A80" s="17">
        <v>79</v>
      </c>
      <c r="B80" s="18" t="s">
        <v>63</v>
      </c>
      <c r="C80" s="18" t="s">
        <v>6</v>
      </c>
      <c r="D80" s="17" t="s">
        <v>230</v>
      </c>
      <c r="E80" s="17" t="s">
        <v>230</v>
      </c>
      <c r="F80" s="17" t="s">
        <v>230</v>
      </c>
      <c r="G80" s="19" t="s">
        <v>97</v>
      </c>
      <c r="H80" s="20" t="s">
        <v>0</v>
      </c>
      <c r="I80" s="34" t="s">
        <v>95</v>
      </c>
      <c r="K80" s="19" t="str">
        <f>_xlfn.XLOOKUP(L80,Values!$A$137:$A$140,Values!$B$137:$B$140)</f>
        <v>150 und mehr</v>
      </c>
      <c r="L80" s="53">
        <v>150</v>
      </c>
      <c r="M80" s="19" t="s">
        <v>10</v>
      </c>
      <c r="O80" s="40">
        <f t="shared" ref="O80:O81" si="37">ROUNDUP(L80/20,0)*10</f>
        <v>80</v>
      </c>
      <c r="P80" s="36">
        <v>15</v>
      </c>
      <c r="Q80" s="37">
        <f>+Start!$C$29</f>
        <v>14</v>
      </c>
      <c r="S80" s="24">
        <f>+O80*P80/60*Q80</f>
        <v>280</v>
      </c>
      <c r="T80" s="25">
        <f t="shared" si="29"/>
        <v>1.8666666666666667</v>
      </c>
      <c r="U80" s="25">
        <f>+T80/Start!$C$15</f>
        <v>5.3333333333333337E-2</v>
      </c>
      <c r="V80" s="25">
        <f>+U80/1000*Start!$C$18</f>
        <v>2.6666666666666668E-2</v>
      </c>
      <c r="W80" s="25">
        <f t="shared" si="1"/>
        <v>0</v>
      </c>
      <c r="X80" s="25">
        <f t="shared" si="2"/>
        <v>0.13333333333333333</v>
      </c>
      <c r="Y80" s="25" t="str">
        <f>IF(I80="Strom",T80/Q80/(Start!$C$15),"")</f>
        <v/>
      </c>
      <c r="Z80" s="25" t="str">
        <f t="shared" si="3"/>
        <v/>
      </c>
    </row>
    <row r="81" spans="1:26" ht="15" customHeight="1">
      <c r="A81" s="17">
        <v>80</v>
      </c>
      <c r="B81" s="18" t="s">
        <v>63</v>
      </c>
      <c r="C81" s="18" t="s">
        <v>6</v>
      </c>
      <c r="D81" s="17" t="s">
        <v>230</v>
      </c>
      <c r="E81" s="17" t="s">
        <v>230</v>
      </c>
      <c r="F81" s="17" t="s">
        <v>230</v>
      </c>
      <c r="G81" s="19" t="s">
        <v>97</v>
      </c>
      <c r="H81" s="20" t="s">
        <v>0</v>
      </c>
      <c r="I81" s="34" t="s">
        <v>96</v>
      </c>
      <c r="K81" s="19" t="str">
        <f>_xlfn.XLOOKUP(L81,Values!$A$137:$A$140,Values!$B$137:$B$140)</f>
        <v>150 und mehr</v>
      </c>
      <c r="L81" s="53">
        <v>150</v>
      </c>
      <c r="M81" s="19" t="s">
        <v>10</v>
      </c>
      <c r="O81" s="40">
        <f t="shared" si="37"/>
        <v>80</v>
      </c>
      <c r="P81" s="36">
        <f>(+Start!$C$13*2)/60*60</f>
        <v>2</v>
      </c>
      <c r="Q81" s="37">
        <f>+Start!$C$29</f>
        <v>14</v>
      </c>
      <c r="S81" s="24">
        <f>+O81*P81/60*Q81</f>
        <v>37.333333333333329</v>
      </c>
      <c r="T81" s="25">
        <f t="shared" si="29"/>
        <v>0.24888888888888885</v>
      </c>
      <c r="U81" s="25">
        <f>+T81/Start!$C$15</f>
        <v>7.1111111111111097E-3</v>
      </c>
      <c r="V81" s="25">
        <f>+U81/1000*Start!$C$18</f>
        <v>3.5555555555555549E-3</v>
      </c>
      <c r="W81" s="25">
        <f t="shared" si="1"/>
        <v>0</v>
      </c>
      <c r="X81" s="25">
        <f t="shared" si="2"/>
        <v>1.7777777777777778E-2</v>
      </c>
      <c r="Y81" s="25" t="str">
        <f>IF(I81="Strom",T81/Q81/(Start!$C$15),"")</f>
        <v/>
      </c>
      <c r="Z81" s="25" t="str">
        <f t="shared" si="3"/>
        <v/>
      </c>
    </row>
    <row r="82" spans="1:26" ht="15" customHeight="1">
      <c r="A82" s="17">
        <v>81</v>
      </c>
      <c r="B82" s="18" t="s">
        <v>63</v>
      </c>
      <c r="C82" s="18" t="s">
        <v>6</v>
      </c>
      <c r="D82" s="17" t="s">
        <v>230</v>
      </c>
      <c r="E82" s="17" t="s">
        <v>230</v>
      </c>
      <c r="F82" s="17" t="s">
        <v>230</v>
      </c>
      <c r="G82" s="19" t="s">
        <v>97</v>
      </c>
      <c r="H82" s="18" t="s">
        <v>117</v>
      </c>
      <c r="I82" s="18" t="s">
        <v>117</v>
      </c>
      <c r="J82" s="19" t="s">
        <v>116</v>
      </c>
      <c r="K82" s="19" t="str">
        <f>_xlfn.XLOOKUP(L82,Values!$A$137:$A$140,Values!$B$137:$B$140)</f>
        <v>150 und mehr</v>
      </c>
      <c r="L82" s="53">
        <v>150</v>
      </c>
      <c r="M82" s="19" t="s">
        <v>10</v>
      </c>
      <c r="O82" s="37"/>
      <c r="P82" s="37"/>
      <c r="Q82" s="43">
        <f>+Start!$C$30</f>
        <v>0.28999999999999998</v>
      </c>
      <c r="S82" s="24">
        <f>(+S79+S80+S81+S73)*Q82</f>
        <v>1387.6443137254901</v>
      </c>
      <c r="T82" s="25">
        <f t="shared" si="29"/>
        <v>9.2509620915032666</v>
      </c>
      <c r="U82" s="25">
        <f>+T82/Start!$C$15</f>
        <v>0.26431320261437907</v>
      </c>
      <c r="V82" s="25">
        <f>+U82/1000*Start!$C$18</f>
        <v>0.13215660130718954</v>
      </c>
      <c r="W82" s="25">
        <f t="shared" si="1"/>
        <v>0</v>
      </c>
      <c r="X82" s="25" t="str">
        <f t="shared" si="2"/>
        <v/>
      </c>
      <c r="Y82" s="25" t="str">
        <f>IF(I82="Strom",T82/Q82/(Start!$C$15),"")</f>
        <v/>
      </c>
      <c r="Z82" s="25" t="str">
        <f t="shared" si="3"/>
        <v/>
      </c>
    </row>
    <row r="83" spans="1:26" ht="15" customHeight="1">
      <c r="A83" s="17">
        <v>82</v>
      </c>
      <c r="B83" s="18" t="s">
        <v>63</v>
      </c>
      <c r="C83" s="18" t="s">
        <v>6</v>
      </c>
      <c r="D83" s="17" t="s">
        <v>230</v>
      </c>
      <c r="E83" s="17" t="s">
        <v>230</v>
      </c>
      <c r="F83" s="17" t="s">
        <v>230</v>
      </c>
      <c r="G83" s="19" t="s">
        <v>97</v>
      </c>
      <c r="H83" s="20" t="s">
        <v>16</v>
      </c>
      <c r="I83" s="18" t="s">
        <v>16</v>
      </c>
      <c r="J83" s="19" t="s">
        <v>21</v>
      </c>
      <c r="K83" s="19" t="str">
        <f>_xlfn.XLOOKUP(L83,Values!$A$137:$A$140,Values!$B$137:$B$140)</f>
        <v>150 und mehr</v>
      </c>
      <c r="L83" s="53">
        <v>150</v>
      </c>
      <c r="M83" s="19" t="s">
        <v>10</v>
      </c>
      <c r="N83" s="44">
        <v>1</v>
      </c>
      <c r="O83" s="45">
        <v>110</v>
      </c>
      <c r="Q83" s="46">
        <f>+Start!$C$31</f>
        <v>4.6100000000000003</v>
      </c>
      <c r="S83" s="24">
        <f>+O83*Q83*12</f>
        <v>6085.2000000000007</v>
      </c>
      <c r="T83" s="25">
        <f t="shared" si="29"/>
        <v>40.568000000000005</v>
      </c>
      <c r="U83" s="25">
        <f>+T83/Start!$C$15</f>
        <v>1.1590857142857145</v>
      </c>
      <c r="V83" s="25">
        <f>+U83/1000*Start!$C$18</f>
        <v>0.57954285714285725</v>
      </c>
      <c r="W83" s="25">
        <f t="shared" si="1"/>
        <v>0</v>
      </c>
      <c r="X83" s="25" t="str">
        <f t="shared" si="2"/>
        <v/>
      </c>
      <c r="Y83" s="25" t="str">
        <f>IF(I83="Strom",T83/Q83/(Start!$C$15),"")</f>
        <v/>
      </c>
      <c r="Z83" s="25" t="str">
        <f t="shared" si="3"/>
        <v/>
      </c>
    </row>
    <row r="84" spans="1:26" ht="15" customHeight="1">
      <c r="A84" s="17">
        <v>83</v>
      </c>
      <c r="B84" s="18" t="s">
        <v>63</v>
      </c>
      <c r="C84" s="18" t="s">
        <v>6</v>
      </c>
      <c r="D84" s="17" t="s">
        <v>230</v>
      </c>
      <c r="E84" s="17" t="s">
        <v>230</v>
      </c>
      <c r="F84" s="17" t="s">
        <v>230</v>
      </c>
      <c r="G84" s="19" t="s">
        <v>97</v>
      </c>
      <c r="H84" s="20" t="s">
        <v>16</v>
      </c>
      <c r="I84" s="18" t="s">
        <v>101</v>
      </c>
      <c r="J84" s="19" t="s">
        <v>21</v>
      </c>
      <c r="K84" s="19" t="str">
        <f>_xlfn.XLOOKUP(L84,Values!$A$137:$A$140,Values!$B$137:$B$140)</f>
        <v>150 und mehr</v>
      </c>
      <c r="L84" s="53">
        <v>150</v>
      </c>
      <c r="M84" s="19" t="s">
        <v>10</v>
      </c>
      <c r="N84" s="44">
        <v>1</v>
      </c>
      <c r="O84" s="47">
        <f>+O83</f>
        <v>110</v>
      </c>
      <c r="Q84" s="46">
        <f>+Q83*0.02</f>
        <v>9.2200000000000004E-2</v>
      </c>
      <c r="S84" s="24">
        <f>+O84*Q84*12</f>
        <v>121.70400000000001</v>
      </c>
      <c r="T84" s="25">
        <f t="shared" si="29"/>
        <v>0.81136000000000008</v>
      </c>
      <c r="U84" s="25">
        <f>+T84/Start!$C$15</f>
        <v>2.3181714285714288E-2</v>
      </c>
      <c r="V84" s="25">
        <f>+U84/1000*Start!$C$18</f>
        <v>1.1590857142857144E-2</v>
      </c>
      <c r="W84" s="25">
        <f t="shared" si="1"/>
        <v>0</v>
      </c>
      <c r="X84" s="25" t="str">
        <f t="shared" si="2"/>
        <v/>
      </c>
      <c r="Y84" s="25" t="str">
        <f>IF(I84="Strom",T84/Q84/(Start!$C$15),"")</f>
        <v/>
      </c>
      <c r="Z84" s="25" t="str">
        <f t="shared" si="3"/>
        <v/>
      </c>
    </row>
    <row r="85" spans="1:26" ht="15" customHeight="1">
      <c r="A85" s="17">
        <v>84</v>
      </c>
      <c r="B85" s="18" t="s">
        <v>63</v>
      </c>
      <c r="C85" s="18" t="s">
        <v>6</v>
      </c>
      <c r="D85" s="17" t="s">
        <v>230</v>
      </c>
      <c r="E85" s="17" t="s">
        <v>230</v>
      </c>
      <c r="F85" s="17" t="s">
        <v>230</v>
      </c>
      <c r="G85" s="19" t="s">
        <v>97</v>
      </c>
      <c r="H85" s="20" t="s">
        <v>48</v>
      </c>
      <c r="I85" s="18" t="s">
        <v>17</v>
      </c>
      <c r="J85" s="19" t="s">
        <v>67</v>
      </c>
      <c r="K85" s="19" t="str">
        <f>_xlfn.XLOOKUP(L85,Values!$A$137:$A$140,Values!$B$137:$B$140)</f>
        <v>150 und mehr</v>
      </c>
      <c r="L85" s="53">
        <v>150</v>
      </c>
      <c r="M85" s="18" t="s">
        <v>10</v>
      </c>
      <c r="N85" s="48"/>
      <c r="O85" s="49">
        <f>SUM(R65:R84)/2</f>
        <v>27807.735294117647</v>
      </c>
      <c r="P85" s="18"/>
      <c r="Q85" s="50">
        <v>0.03</v>
      </c>
      <c r="S85" s="24">
        <f>+O85*Q85</f>
        <v>834.23205882352943</v>
      </c>
      <c r="T85" s="25">
        <f t="shared" si="29"/>
        <v>5.5615470588235292</v>
      </c>
      <c r="U85" s="25">
        <f>+T85/Start!$C$15</f>
        <v>0.15890134453781513</v>
      </c>
      <c r="V85" s="25">
        <f>+U85/1000*Start!$C$18</f>
        <v>7.9450672268907563E-2</v>
      </c>
      <c r="W85" s="25">
        <f t="shared" si="1"/>
        <v>0</v>
      </c>
      <c r="X85" s="25" t="str">
        <f t="shared" si="2"/>
        <v/>
      </c>
      <c r="Y85" s="25" t="str">
        <f>IF(I85="Strom",T85/Q85/(Start!$C$15),"")</f>
        <v/>
      </c>
      <c r="Z85" s="25" t="str">
        <f t="shared" ref="Z85:Z148" si="38">IF(H85="KFZ",U85/Q85,"")</f>
        <v/>
      </c>
    </row>
    <row r="86" spans="1:26" ht="15" customHeight="1">
      <c r="A86" s="17">
        <v>85</v>
      </c>
      <c r="B86" s="18" t="s">
        <v>63</v>
      </c>
      <c r="C86" s="18" t="s">
        <v>53</v>
      </c>
      <c r="D86" s="17" t="s">
        <v>230</v>
      </c>
      <c r="E86" s="17" t="s">
        <v>230</v>
      </c>
      <c r="F86" s="17" t="s">
        <v>230</v>
      </c>
      <c r="G86" s="19" t="s">
        <v>84</v>
      </c>
      <c r="H86" s="20" t="s">
        <v>86</v>
      </c>
      <c r="I86" s="18" t="s">
        <v>28</v>
      </c>
      <c r="J86" s="19" t="s">
        <v>45</v>
      </c>
      <c r="K86" s="19" t="str">
        <f>_xlfn.XLOOKUP(L86,Values!$A$137:$A$140,Values!$B$137:$B$140)</f>
        <v>1 bis 25</v>
      </c>
      <c r="L86" s="21">
        <v>6</v>
      </c>
      <c r="M86" s="19" t="s">
        <v>5</v>
      </c>
      <c r="O86" s="40">
        <v>1</v>
      </c>
      <c r="Q86" s="54">
        <v>7</v>
      </c>
      <c r="S86" s="24">
        <f>+(O86*Q86*L86/(1-Start!$C$16))</f>
        <v>49.411764705882355</v>
      </c>
      <c r="T86" s="25">
        <f>+S86/L86</f>
        <v>8.2352941176470598</v>
      </c>
      <c r="U86" s="25">
        <f>+T86/Start!$C$15</f>
        <v>0.23529411764705885</v>
      </c>
      <c r="V86" s="25">
        <f>+U86/1000*Start!$C$18</f>
        <v>0.11764705882352942</v>
      </c>
      <c r="W86" s="25">
        <f t="shared" si="1"/>
        <v>0</v>
      </c>
      <c r="X86" s="25" t="str">
        <f t="shared" si="2"/>
        <v/>
      </c>
      <c r="Y86" s="25" t="str">
        <f>IF(I86="Strom",T86/Q86/(Start!$C$15),"")</f>
        <v/>
      </c>
      <c r="Z86" s="25" t="str">
        <f t="shared" si="38"/>
        <v/>
      </c>
    </row>
    <row r="87" spans="1:26" ht="15" customHeight="1">
      <c r="A87" s="17">
        <v>86</v>
      </c>
      <c r="B87" s="18" t="s">
        <v>63</v>
      </c>
      <c r="C87" s="18" t="s">
        <v>53</v>
      </c>
      <c r="D87" s="17" t="s">
        <v>230</v>
      </c>
      <c r="E87" s="17" t="s">
        <v>230</v>
      </c>
      <c r="F87" s="17" t="s">
        <v>230</v>
      </c>
      <c r="G87" s="19" t="s">
        <v>84</v>
      </c>
      <c r="H87" s="20" t="s">
        <v>86</v>
      </c>
      <c r="I87" s="18" t="s">
        <v>156</v>
      </c>
      <c r="J87" s="19" t="s">
        <v>51</v>
      </c>
      <c r="K87" s="19" t="str">
        <f>_xlfn.XLOOKUP(L87,Values!$A$137:$A$140,Values!$B$137:$B$140)</f>
        <v>1 bis 25</v>
      </c>
      <c r="L87" s="21">
        <v>6</v>
      </c>
      <c r="M87" s="19" t="s">
        <v>10</v>
      </c>
      <c r="O87" s="40">
        <v>1</v>
      </c>
      <c r="Q87" s="55">
        <f>10+(30/30*L87)</f>
        <v>16</v>
      </c>
      <c r="S87" s="24">
        <f>+(O87*Q87)</f>
        <v>16</v>
      </c>
      <c r="T87" s="25">
        <f t="shared" ref="T87:T94" si="39">+S87/L87</f>
        <v>2.6666666666666665</v>
      </c>
      <c r="U87" s="25">
        <f>+T87/Start!$C$15</f>
        <v>7.6190476190476183E-2</v>
      </c>
      <c r="V87" s="25">
        <f>+U87/1000*Start!$C$18</f>
        <v>3.8095238095238092E-2</v>
      </c>
      <c r="W87" s="25">
        <f t="shared" si="1"/>
        <v>0</v>
      </c>
      <c r="X87" s="25" t="str">
        <f t="shared" si="2"/>
        <v/>
      </c>
      <c r="Y87" s="25" t="str">
        <f>IF(I87="Strom",T87/Q87/(Start!$C$15),"")</f>
        <v/>
      </c>
      <c r="Z87" s="25" t="str">
        <f t="shared" si="38"/>
        <v/>
      </c>
    </row>
    <row r="88" spans="1:26" ht="15" customHeight="1">
      <c r="A88" s="17">
        <v>87</v>
      </c>
      <c r="B88" s="18" t="s">
        <v>63</v>
      </c>
      <c r="C88" s="18" t="s">
        <v>53</v>
      </c>
      <c r="D88" s="17" t="s">
        <v>230</v>
      </c>
      <c r="E88" s="17" t="s">
        <v>230</v>
      </c>
      <c r="F88" s="17" t="s">
        <v>230</v>
      </c>
      <c r="G88" s="19" t="s">
        <v>84</v>
      </c>
      <c r="H88" s="20" t="s">
        <v>176</v>
      </c>
      <c r="I88" s="18" t="s">
        <v>157</v>
      </c>
      <c r="K88" s="19" t="str">
        <f>_xlfn.XLOOKUP(L88,Values!$A$137:$A$140,Values!$B$137:$B$140)</f>
        <v>1 bis 25</v>
      </c>
      <c r="L88" s="21">
        <v>6</v>
      </c>
      <c r="M88" s="19" t="s">
        <v>10</v>
      </c>
      <c r="O88" s="40">
        <f>ROUNDUP(L88/20,0)</f>
        <v>1</v>
      </c>
      <c r="Q88" s="55">
        <v>20</v>
      </c>
      <c r="S88" s="42">
        <f>+Q88*O88</f>
        <v>20</v>
      </c>
      <c r="T88" s="25">
        <f t="shared" si="39"/>
        <v>3.3333333333333335</v>
      </c>
      <c r="U88" s="25">
        <f>+T88/Start!$C$15</f>
        <v>9.5238095238095247E-2</v>
      </c>
      <c r="V88" s="25">
        <f>+U88/1000*Start!$C$18</f>
        <v>4.7619047619047623E-2</v>
      </c>
      <c r="W88" s="25">
        <f t="shared" si="1"/>
        <v>0</v>
      </c>
      <c r="X88" s="25" t="str">
        <f t="shared" si="2"/>
        <v/>
      </c>
      <c r="Y88" s="25" t="str">
        <f>IF(I88="Strom",T88/Q88/(Start!$C$15),"")</f>
        <v/>
      </c>
      <c r="Z88" s="25" t="str">
        <f t="shared" si="38"/>
        <v/>
      </c>
    </row>
    <row r="89" spans="1:26" ht="15" customHeight="1">
      <c r="A89" s="17">
        <v>88</v>
      </c>
      <c r="B89" s="18" t="s">
        <v>63</v>
      </c>
      <c r="C89" s="18" t="s">
        <v>53</v>
      </c>
      <c r="D89" s="17" t="s">
        <v>230</v>
      </c>
      <c r="E89" s="17" t="s">
        <v>230</v>
      </c>
      <c r="F89" s="17" t="s">
        <v>230</v>
      </c>
      <c r="G89" s="19" t="s">
        <v>97</v>
      </c>
      <c r="H89" s="20" t="s">
        <v>0</v>
      </c>
      <c r="I89" s="34" t="s">
        <v>43</v>
      </c>
      <c r="K89" s="19" t="str">
        <f>_xlfn.XLOOKUP(L89,Values!$A$137:$A$140,Values!$B$137:$B$140)</f>
        <v>1 bis 25</v>
      </c>
      <c r="L89" s="21">
        <v>6</v>
      </c>
      <c r="M89" s="19" t="s">
        <v>5</v>
      </c>
      <c r="O89" s="40">
        <v>1</v>
      </c>
      <c r="P89" s="36">
        <v>5</v>
      </c>
      <c r="Q89" s="37">
        <f>+Start!$C$29</f>
        <v>14</v>
      </c>
      <c r="S89" s="24">
        <f>+O89*P89/60*Q89*L89/(1-Start!$C$16)</f>
        <v>8.235294117647058</v>
      </c>
      <c r="T89" s="25">
        <f t="shared" si="39"/>
        <v>1.3725490196078429</v>
      </c>
      <c r="U89" s="25">
        <f>+T89/Start!$C$15</f>
        <v>3.9215686274509796E-2</v>
      </c>
      <c r="V89" s="25">
        <f>+U89/1000*Start!$C$18</f>
        <v>1.9607843137254898E-2</v>
      </c>
      <c r="W89" s="25">
        <f t="shared" si="1"/>
        <v>0</v>
      </c>
      <c r="X89" s="25">
        <f t="shared" si="2"/>
        <v>9.8039215686274495E-2</v>
      </c>
      <c r="Y89" s="25" t="str">
        <f>IF(I89="Strom",T89/Q89/(Start!$C$15),"")</f>
        <v/>
      </c>
      <c r="Z89" s="25" t="str">
        <f t="shared" si="38"/>
        <v/>
      </c>
    </row>
    <row r="90" spans="1:26" ht="15" customHeight="1">
      <c r="A90" s="17">
        <v>89</v>
      </c>
      <c r="B90" s="18" t="s">
        <v>63</v>
      </c>
      <c r="C90" s="18" t="s">
        <v>53</v>
      </c>
      <c r="D90" s="17" t="s">
        <v>230</v>
      </c>
      <c r="E90" s="17" t="s">
        <v>230</v>
      </c>
      <c r="F90" s="17" t="s">
        <v>230</v>
      </c>
      <c r="G90" s="19" t="s">
        <v>97</v>
      </c>
      <c r="H90" s="20" t="s">
        <v>0</v>
      </c>
      <c r="I90" s="34" t="s">
        <v>44</v>
      </c>
      <c r="J90" s="19" t="s">
        <v>45</v>
      </c>
      <c r="K90" s="19" t="str">
        <f>_xlfn.XLOOKUP(L90,Values!$A$137:$A$140,Values!$B$137:$B$140)</f>
        <v>1 bis 25</v>
      </c>
      <c r="L90" s="21">
        <v>6</v>
      </c>
      <c r="M90" s="19" t="s">
        <v>5</v>
      </c>
      <c r="O90" s="40">
        <v>1</v>
      </c>
      <c r="P90" s="36">
        <v>11</v>
      </c>
      <c r="Q90" s="37">
        <f>+Start!$C$29</f>
        <v>14</v>
      </c>
      <c r="S90" s="24">
        <f>+O90*P90/60*Q90*L90/(1-Start!$C$16)</f>
        <v>18.117647058823529</v>
      </c>
      <c r="T90" s="25">
        <f t="shared" si="39"/>
        <v>3.0196078431372548</v>
      </c>
      <c r="U90" s="25">
        <f>+T90/Start!$C$15</f>
        <v>8.6274509803921567E-2</v>
      </c>
      <c r="V90" s="25">
        <f>+U90/1000*Start!$C$18</f>
        <v>4.3137254901960784E-2</v>
      </c>
      <c r="W90" s="25">
        <f t="shared" si="1"/>
        <v>0</v>
      </c>
      <c r="X90" s="25">
        <f t="shared" si="2"/>
        <v>0.21568627450980393</v>
      </c>
      <c r="Y90" s="25" t="str">
        <f>IF(I90="Strom",T90/Q90/(Start!$C$15),"")</f>
        <v/>
      </c>
      <c r="Z90" s="25" t="str">
        <f t="shared" si="38"/>
        <v/>
      </c>
    </row>
    <row r="91" spans="1:26" ht="15" customHeight="1">
      <c r="A91" s="17">
        <v>90</v>
      </c>
      <c r="B91" s="18" t="s">
        <v>63</v>
      </c>
      <c r="C91" s="18" t="s">
        <v>53</v>
      </c>
      <c r="D91" s="17" t="s">
        <v>230</v>
      </c>
      <c r="E91" s="17" t="s">
        <v>230</v>
      </c>
      <c r="F91" s="17" t="s">
        <v>230</v>
      </c>
      <c r="G91" s="19" t="s">
        <v>97</v>
      </c>
      <c r="H91" s="20" t="s">
        <v>0</v>
      </c>
      <c r="I91" s="34" t="s">
        <v>46</v>
      </c>
      <c r="K91" s="19" t="str">
        <f>_xlfn.XLOOKUP(L91,Values!$A$137:$A$140,Values!$B$137:$B$140)</f>
        <v>1 bis 25</v>
      </c>
      <c r="L91" s="21">
        <v>6</v>
      </c>
      <c r="M91" s="19" t="s">
        <v>5</v>
      </c>
      <c r="O91" s="40">
        <v>2</v>
      </c>
      <c r="P91" s="36">
        <v>1</v>
      </c>
      <c r="Q91" s="37">
        <f>+Start!$C$29</f>
        <v>14</v>
      </c>
      <c r="S91" s="24">
        <f>+O91*P91/60*Q91*L91/(1-Start!$C$16)</f>
        <v>3.2941176470588234</v>
      </c>
      <c r="T91" s="25">
        <f t="shared" si="39"/>
        <v>0.54901960784313719</v>
      </c>
      <c r="U91" s="25">
        <f>+T91/Start!$C$15</f>
        <v>1.5686274509803921E-2</v>
      </c>
      <c r="V91" s="25">
        <f>+U91/1000*Start!$C$18</f>
        <v>7.8431372549019607E-3</v>
      </c>
      <c r="W91" s="25">
        <f t="shared" si="1"/>
        <v>0</v>
      </c>
      <c r="X91" s="25">
        <f t="shared" si="2"/>
        <v>3.9215686274509803E-2</v>
      </c>
      <c r="Y91" s="25" t="str">
        <f>IF(I91="Strom",T91/Q91/(Start!$C$15),"")</f>
        <v/>
      </c>
      <c r="Z91" s="25" t="str">
        <f t="shared" si="38"/>
        <v/>
      </c>
    </row>
    <row r="92" spans="1:26" ht="15" customHeight="1">
      <c r="A92" s="17">
        <v>91</v>
      </c>
      <c r="B92" s="18" t="s">
        <v>63</v>
      </c>
      <c r="C92" s="18" t="s">
        <v>53</v>
      </c>
      <c r="D92" s="17" t="s">
        <v>230</v>
      </c>
      <c r="E92" s="17" t="s">
        <v>230</v>
      </c>
      <c r="F92" s="17" t="s">
        <v>230</v>
      </c>
      <c r="G92" s="19" t="s">
        <v>97</v>
      </c>
      <c r="H92" s="20" t="s">
        <v>0</v>
      </c>
      <c r="I92" s="34" t="s">
        <v>96</v>
      </c>
      <c r="K92" s="19" t="str">
        <f>_xlfn.XLOOKUP(L92,Values!$A$137:$A$140,Values!$B$137:$B$140)</f>
        <v>1 bis 25</v>
      </c>
      <c r="L92" s="21">
        <v>6</v>
      </c>
      <c r="M92" s="19" t="s">
        <v>10</v>
      </c>
      <c r="O92" s="40">
        <f>ROUNDUP(L92/20,0)*3</f>
        <v>3</v>
      </c>
      <c r="P92" s="36">
        <f>(+Start!$C$13*2)/60*60</f>
        <v>2</v>
      </c>
      <c r="Q92" s="37">
        <f>+Start!$C$29</f>
        <v>14</v>
      </c>
      <c r="S92" s="24">
        <f>+O92*P92/60*Q92</f>
        <v>1.4000000000000001</v>
      </c>
      <c r="T92" s="25">
        <f t="shared" si="39"/>
        <v>0.23333333333333336</v>
      </c>
      <c r="U92" s="25">
        <f>+T92/Start!$C$15</f>
        <v>6.666666666666668E-3</v>
      </c>
      <c r="V92" s="25">
        <f>+U92/1000*Start!$C$18</f>
        <v>3.333333333333334E-3</v>
      </c>
      <c r="W92" s="25">
        <f t="shared" si="1"/>
        <v>0</v>
      </c>
      <c r="X92" s="25">
        <f t="shared" si="2"/>
        <v>1.6666666666666666E-2</v>
      </c>
      <c r="Y92" s="25" t="str">
        <f>IF(I92="Strom",T92/Q92/(Start!$C$15),"")</f>
        <v/>
      </c>
      <c r="Z92" s="25" t="str">
        <f t="shared" si="38"/>
        <v/>
      </c>
    </row>
    <row r="93" spans="1:26" ht="15" customHeight="1">
      <c r="A93" s="17">
        <v>92</v>
      </c>
      <c r="B93" s="18" t="s">
        <v>63</v>
      </c>
      <c r="C93" s="18" t="s">
        <v>53</v>
      </c>
      <c r="D93" s="17" t="s">
        <v>230</v>
      </c>
      <c r="E93" s="17" t="s">
        <v>230</v>
      </c>
      <c r="F93" s="17" t="s">
        <v>230</v>
      </c>
      <c r="G93" s="19" t="s">
        <v>97</v>
      </c>
      <c r="H93" s="18" t="s">
        <v>117</v>
      </c>
      <c r="I93" s="18" t="s">
        <v>117</v>
      </c>
      <c r="J93" s="19" t="s">
        <v>116</v>
      </c>
      <c r="K93" s="19" t="str">
        <f>_xlfn.XLOOKUP(L93,Values!$A$137:$A$140,Values!$B$137:$B$140)</f>
        <v>1 bis 25</v>
      </c>
      <c r="L93" s="21">
        <v>6</v>
      </c>
      <c r="M93" s="19" t="s">
        <v>10</v>
      </c>
      <c r="O93" s="35"/>
      <c r="P93" s="56"/>
      <c r="Q93" s="43">
        <f>+Start!$C$30</f>
        <v>0.28999999999999998</v>
      </c>
      <c r="S93" s="24">
        <f>(+S90+S91+S92+S89)*Q93</f>
        <v>9.0036470588235282</v>
      </c>
      <c r="T93" s="25">
        <f t="shared" si="39"/>
        <v>1.5006078431372547</v>
      </c>
      <c r="U93" s="25">
        <f>+T93/Start!$C$15</f>
        <v>4.2874509803921566E-2</v>
      </c>
      <c r="V93" s="25">
        <f>+U93/1000*Start!$C$18</f>
        <v>2.1437254901960783E-2</v>
      </c>
      <c r="W93" s="25">
        <f t="shared" si="1"/>
        <v>0</v>
      </c>
      <c r="X93" s="25" t="str">
        <f t="shared" si="2"/>
        <v/>
      </c>
      <c r="Y93" s="25" t="str">
        <f>IF(I93="Strom",T93/Q93/(Start!$C$15),"")</f>
        <v/>
      </c>
      <c r="Z93" s="25" t="str">
        <f t="shared" si="38"/>
        <v/>
      </c>
    </row>
    <row r="94" spans="1:26" ht="15" customHeight="1">
      <c r="A94" s="17">
        <v>93</v>
      </c>
      <c r="B94" s="18" t="s">
        <v>63</v>
      </c>
      <c r="C94" s="18" t="s">
        <v>53</v>
      </c>
      <c r="D94" s="17" t="s">
        <v>230</v>
      </c>
      <c r="E94" s="17" t="s">
        <v>230</v>
      </c>
      <c r="F94" s="17" t="s">
        <v>230</v>
      </c>
      <c r="G94" s="19" t="s">
        <v>97</v>
      </c>
      <c r="H94" s="20" t="s">
        <v>47</v>
      </c>
      <c r="I94" s="18" t="s">
        <v>19</v>
      </c>
      <c r="J94" s="18" t="s">
        <v>110</v>
      </c>
      <c r="K94" s="19" t="str">
        <f>_xlfn.XLOOKUP(L94,Values!$A$137:$A$140,Values!$B$137:$B$140)</f>
        <v>1 bis 25</v>
      </c>
      <c r="L94" s="21">
        <v>6</v>
      </c>
      <c r="M94" s="19" t="s">
        <v>10</v>
      </c>
      <c r="O94" s="40">
        <f>ROUNDUP(L94/20,0)*3</f>
        <v>3</v>
      </c>
      <c r="P94" s="32"/>
      <c r="Q94" s="41">
        <v>0.35</v>
      </c>
      <c r="S94" s="42">
        <f>+Start!$C$13*2*O94*Q94</f>
        <v>2.0999999999999996</v>
      </c>
      <c r="T94" s="25">
        <f t="shared" si="39"/>
        <v>0.34999999999999992</v>
      </c>
      <c r="U94" s="25">
        <f>+T94/Start!$C$15</f>
        <v>9.9999999999999985E-3</v>
      </c>
      <c r="V94" s="25">
        <f>+U94/1000*Start!$C$18</f>
        <v>4.9999999999999992E-3</v>
      </c>
      <c r="W94" s="25">
        <f t="shared" si="1"/>
        <v>0</v>
      </c>
      <c r="X94" s="25" t="str">
        <f t="shared" si="2"/>
        <v/>
      </c>
      <c r="Y94" s="25" t="str">
        <f>IF(I94="Strom",T94/Q94/(Start!$C$15),"")</f>
        <v/>
      </c>
      <c r="Z94" s="25">
        <f t="shared" si="38"/>
        <v>2.8571428571428571E-2</v>
      </c>
    </row>
    <row r="95" spans="1:26" ht="15" customHeight="1">
      <c r="A95" s="17">
        <v>94</v>
      </c>
      <c r="B95" s="18" t="s">
        <v>63</v>
      </c>
      <c r="C95" s="18" t="s">
        <v>53</v>
      </c>
      <c r="D95" s="17" t="s">
        <v>230</v>
      </c>
      <c r="E95" s="17" t="s">
        <v>230</v>
      </c>
      <c r="F95" s="17" t="s">
        <v>230</v>
      </c>
      <c r="G95" s="19" t="s">
        <v>84</v>
      </c>
      <c r="H95" s="20" t="s">
        <v>86</v>
      </c>
      <c r="I95" s="18" t="s">
        <v>28</v>
      </c>
      <c r="J95" s="19" t="s">
        <v>45</v>
      </c>
      <c r="K95" s="19" t="str">
        <f>_xlfn.XLOOKUP(L95,Values!$A$137:$A$140,Values!$B$137:$B$140)</f>
        <v>26 bis 70</v>
      </c>
      <c r="L95" s="51">
        <v>26</v>
      </c>
      <c r="M95" s="19" t="s">
        <v>5</v>
      </c>
      <c r="O95" s="40">
        <v>1</v>
      </c>
      <c r="Q95" s="57">
        <f>+Q86*1</f>
        <v>7</v>
      </c>
      <c r="S95" s="24">
        <f>+(O95*Q95*L95/(1-Start!$C$16))</f>
        <v>214.11764705882354</v>
      </c>
      <c r="T95" s="25">
        <f>+S95/L95</f>
        <v>8.2352941176470598</v>
      </c>
      <c r="U95" s="25">
        <f>+T95/Start!$C$15</f>
        <v>0.23529411764705885</v>
      </c>
      <c r="V95" s="25">
        <f>+U95/1000*Start!$C$18</f>
        <v>0.11764705882352942</v>
      </c>
      <c r="W95" s="25">
        <f t="shared" ref="W95:W162" si="40">+R95/L95</f>
        <v>0</v>
      </c>
      <c r="X95" s="25" t="str">
        <f t="shared" ref="X95:X162" si="41">IF(H95="Arbeit",S95/Q95/L95,"")</f>
        <v/>
      </c>
      <c r="Y95" s="25" t="str">
        <f>IF(I95="Strom",T95/Q95/(Start!$C$15),"")</f>
        <v/>
      </c>
      <c r="Z95" s="25" t="str">
        <f t="shared" si="38"/>
        <v/>
      </c>
    </row>
    <row r="96" spans="1:26" ht="15" customHeight="1">
      <c r="A96" s="17">
        <v>95</v>
      </c>
      <c r="B96" s="18" t="s">
        <v>63</v>
      </c>
      <c r="C96" s="18" t="s">
        <v>53</v>
      </c>
      <c r="D96" s="17" t="s">
        <v>230</v>
      </c>
      <c r="E96" s="17" t="s">
        <v>230</v>
      </c>
      <c r="F96" s="17" t="s">
        <v>230</v>
      </c>
      <c r="G96" s="19" t="s">
        <v>84</v>
      </c>
      <c r="H96" s="20" t="s">
        <v>86</v>
      </c>
      <c r="I96" s="18" t="s">
        <v>155</v>
      </c>
      <c r="J96" s="19" t="s">
        <v>51</v>
      </c>
      <c r="K96" s="19" t="str">
        <f>_xlfn.XLOOKUP(L96,Values!$A$137:$A$140,Values!$B$137:$B$140)</f>
        <v>26 bis 70</v>
      </c>
      <c r="L96" s="51">
        <v>26</v>
      </c>
      <c r="M96" s="19" t="s">
        <v>10</v>
      </c>
      <c r="O96" s="40">
        <v>1</v>
      </c>
      <c r="Q96" s="55">
        <f>10+(30/30*L96)</f>
        <v>36</v>
      </c>
      <c r="S96" s="24">
        <f>+(O96*Q96)</f>
        <v>36</v>
      </c>
      <c r="T96" s="25">
        <f t="shared" ref="T96:T103" si="42">+S96/L96</f>
        <v>1.3846153846153846</v>
      </c>
      <c r="U96" s="25">
        <f>+T96/Start!$C$15</f>
        <v>3.9560439560439559E-2</v>
      </c>
      <c r="V96" s="25">
        <f>+U96/1000*Start!$C$18</f>
        <v>1.9780219780219779E-2</v>
      </c>
      <c r="W96" s="25">
        <f t="shared" si="40"/>
        <v>0</v>
      </c>
      <c r="X96" s="25" t="str">
        <f t="shared" si="41"/>
        <v/>
      </c>
      <c r="Y96" s="25" t="str">
        <f>IF(I96="Strom",T96/Q96/(Start!$C$15),"")</f>
        <v/>
      </c>
      <c r="Z96" s="25" t="str">
        <f t="shared" si="38"/>
        <v/>
      </c>
    </row>
    <row r="97" spans="1:26" ht="15" customHeight="1">
      <c r="A97" s="17">
        <v>96</v>
      </c>
      <c r="B97" s="18" t="s">
        <v>63</v>
      </c>
      <c r="C97" s="18" t="s">
        <v>53</v>
      </c>
      <c r="D97" s="17" t="s">
        <v>230</v>
      </c>
      <c r="E97" s="17" t="s">
        <v>230</v>
      </c>
      <c r="F97" s="17" t="s">
        <v>230</v>
      </c>
      <c r="G97" s="19" t="s">
        <v>84</v>
      </c>
      <c r="H97" s="20" t="s">
        <v>176</v>
      </c>
      <c r="I97" s="18" t="s">
        <v>157</v>
      </c>
      <c r="K97" s="19" t="str">
        <f>_xlfn.XLOOKUP(L97,Values!$A$137:$A$140,Values!$B$137:$B$140)</f>
        <v>26 bis 70</v>
      </c>
      <c r="L97" s="51">
        <v>26</v>
      </c>
      <c r="M97" s="19" t="s">
        <v>10</v>
      </c>
      <c r="O97" s="40">
        <f>ROUNDUP(L97/20,0)</f>
        <v>2</v>
      </c>
      <c r="Q97" s="55">
        <v>20</v>
      </c>
      <c r="S97" s="42">
        <f>+Q97*O97</f>
        <v>40</v>
      </c>
      <c r="T97" s="25">
        <f t="shared" si="42"/>
        <v>1.5384615384615385</v>
      </c>
      <c r="U97" s="25">
        <f>+T97/Start!$C$15</f>
        <v>4.3956043956043959E-2</v>
      </c>
      <c r="V97" s="25">
        <f>+U97/1000*Start!$C$18</f>
        <v>2.197802197802198E-2</v>
      </c>
      <c r="W97" s="25">
        <f t="shared" si="40"/>
        <v>0</v>
      </c>
      <c r="X97" s="25" t="str">
        <f t="shared" si="41"/>
        <v/>
      </c>
      <c r="Y97" s="25" t="str">
        <f>IF(I97="Strom",T97/Q97/(Start!$C$15),"")</f>
        <v/>
      </c>
      <c r="Z97" s="25" t="str">
        <f t="shared" si="38"/>
        <v/>
      </c>
    </row>
    <row r="98" spans="1:26" ht="15" customHeight="1">
      <c r="A98" s="17">
        <v>97</v>
      </c>
      <c r="B98" s="18" t="s">
        <v>63</v>
      </c>
      <c r="C98" s="18" t="s">
        <v>53</v>
      </c>
      <c r="D98" s="17" t="s">
        <v>230</v>
      </c>
      <c r="E98" s="17" t="s">
        <v>230</v>
      </c>
      <c r="F98" s="17" t="s">
        <v>230</v>
      </c>
      <c r="G98" s="19" t="s">
        <v>97</v>
      </c>
      <c r="H98" s="20" t="s">
        <v>0</v>
      </c>
      <c r="I98" s="34" t="s">
        <v>43</v>
      </c>
      <c r="K98" s="19" t="str">
        <f>_xlfn.XLOOKUP(L98,Values!$A$137:$A$140,Values!$B$137:$B$140)</f>
        <v>26 bis 70</v>
      </c>
      <c r="L98" s="51">
        <v>26</v>
      </c>
      <c r="M98" s="19" t="s">
        <v>5</v>
      </c>
      <c r="O98" s="40">
        <v>1</v>
      </c>
      <c r="P98" s="36">
        <v>5</v>
      </c>
      <c r="Q98" s="37">
        <f>+Start!$C$29</f>
        <v>14</v>
      </c>
      <c r="S98" s="24">
        <f>+O98*P98/60*Q98*L98/(1-Start!$C$16)</f>
        <v>35.686274509803916</v>
      </c>
      <c r="T98" s="25">
        <f t="shared" si="42"/>
        <v>1.3725490196078429</v>
      </c>
      <c r="U98" s="25">
        <f>+T98/Start!$C$15</f>
        <v>3.9215686274509796E-2</v>
      </c>
      <c r="V98" s="25">
        <f>+U98/1000*Start!$C$18</f>
        <v>1.9607843137254898E-2</v>
      </c>
      <c r="W98" s="25">
        <f t="shared" si="40"/>
        <v>0</v>
      </c>
      <c r="X98" s="25">
        <f t="shared" si="41"/>
        <v>9.8039215686274481E-2</v>
      </c>
      <c r="Y98" s="25" t="str">
        <f>IF(I98="Strom",T98/Q98/(Start!$C$15),"")</f>
        <v/>
      </c>
      <c r="Z98" s="25" t="str">
        <f t="shared" si="38"/>
        <v/>
      </c>
    </row>
    <row r="99" spans="1:26" ht="15" customHeight="1">
      <c r="A99" s="17">
        <v>98</v>
      </c>
      <c r="B99" s="18" t="s">
        <v>63</v>
      </c>
      <c r="C99" s="18" t="s">
        <v>53</v>
      </c>
      <c r="D99" s="17" t="s">
        <v>230</v>
      </c>
      <c r="E99" s="17" t="s">
        <v>230</v>
      </c>
      <c r="F99" s="17" t="s">
        <v>230</v>
      </c>
      <c r="G99" s="19" t="s">
        <v>97</v>
      </c>
      <c r="H99" s="20" t="s">
        <v>0</v>
      </c>
      <c r="I99" s="34" t="s">
        <v>44</v>
      </c>
      <c r="J99" s="19" t="s">
        <v>45</v>
      </c>
      <c r="K99" s="19" t="str">
        <f>_xlfn.XLOOKUP(L99,Values!$A$137:$A$140,Values!$B$137:$B$140)</f>
        <v>26 bis 70</v>
      </c>
      <c r="L99" s="51">
        <v>26</v>
      </c>
      <c r="M99" s="19" t="s">
        <v>5</v>
      </c>
      <c r="O99" s="40">
        <v>1</v>
      </c>
      <c r="P99" s="36">
        <v>11</v>
      </c>
      <c r="Q99" s="37">
        <f>+Start!$C$29</f>
        <v>14</v>
      </c>
      <c r="S99" s="24">
        <f>+O99*P99/60*Q99*L99/(1-Start!$C$16)</f>
        <v>78.509803921568619</v>
      </c>
      <c r="T99" s="25">
        <f t="shared" si="42"/>
        <v>3.0196078431372544</v>
      </c>
      <c r="U99" s="25">
        <f>+T99/Start!$C$15</f>
        <v>8.6274509803921554E-2</v>
      </c>
      <c r="V99" s="25">
        <f>+U99/1000*Start!$C$18</f>
        <v>4.3137254901960777E-2</v>
      </c>
      <c r="W99" s="25">
        <f t="shared" si="40"/>
        <v>0</v>
      </c>
      <c r="X99" s="25">
        <f t="shared" si="41"/>
        <v>0.2156862745098039</v>
      </c>
      <c r="Y99" s="25" t="str">
        <f>IF(I99="Strom",T99/Q99/(Start!$C$15),"")</f>
        <v/>
      </c>
      <c r="Z99" s="25" t="str">
        <f t="shared" si="38"/>
        <v/>
      </c>
    </row>
    <row r="100" spans="1:26" ht="15" customHeight="1">
      <c r="A100" s="17">
        <v>99</v>
      </c>
      <c r="B100" s="18" t="s">
        <v>63</v>
      </c>
      <c r="C100" s="18" t="s">
        <v>53</v>
      </c>
      <c r="D100" s="17" t="s">
        <v>230</v>
      </c>
      <c r="E100" s="17" t="s">
        <v>230</v>
      </c>
      <c r="F100" s="17" t="s">
        <v>230</v>
      </c>
      <c r="G100" s="19" t="s">
        <v>97</v>
      </c>
      <c r="H100" s="20" t="s">
        <v>0</v>
      </c>
      <c r="I100" s="34" t="s">
        <v>46</v>
      </c>
      <c r="K100" s="19" t="str">
        <f>_xlfn.XLOOKUP(L100,Values!$A$137:$A$140,Values!$B$137:$B$140)</f>
        <v>26 bis 70</v>
      </c>
      <c r="L100" s="51">
        <v>26</v>
      </c>
      <c r="M100" s="19" t="s">
        <v>5</v>
      </c>
      <c r="O100" s="40">
        <v>2</v>
      </c>
      <c r="P100" s="36">
        <v>1</v>
      </c>
      <c r="Q100" s="37">
        <f>+Start!$C$29</f>
        <v>14</v>
      </c>
      <c r="S100" s="24">
        <f>+O100*P100/60*Q100*L100/(1-Start!$C$16)</f>
        <v>14.274509803921568</v>
      </c>
      <c r="T100" s="25">
        <f t="shared" si="42"/>
        <v>0.54901960784313719</v>
      </c>
      <c r="U100" s="25">
        <f>+T100/Start!$C$15</f>
        <v>1.5686274509803921E-2</v>
      </c>
      <c r="V100" s="25">
        <f>+U100/1000*Start!$C$18</f>
        <v>7.8431372549019607E-3</v>
      </c>
      <c r="W100" s="25">
        <f t="shared" si="40"/>
        <v>0</v>
      </c>
      <c r="X100" s="25">
        <f t="shared" si="41"/>
        <v>3.9215686274509803E-2</v>
      </c>
      <c r="Y100" s="25" t="str">
        <f>IF(I100="Strom",T100/Q100/(Start!$C$15),"")</f>
        <v/>
      </c>
      <c r="Z100" s="25" t="str">
        <f t="shared" si="38"/>
        <v/>
      </c>
    </row>
    <row r="101" spans="1:26" ht="15" customHeight="1">
      <c r="A101" s="17">
        <v>100</v>
      </c>
      <c r="B101" s="18" t="s">
        <v>63</v>
      </c>
      <c r="C101" s="18" t="s">
        <v>53</v>
      </c>
      <c r="D101" s="17" t="s">
        <v>230</v>
      </c>
      <c r="E101" s="17" t="s">
        <v>230</v>
      </c>
      <c r="F101" s="17" t="s">
        <v>230</v>
      </c>
      <c r="G101" s="19" t="s">
        <v>97</v>
      </c>
      <c r="H101" s="20" t="s">
        <v>0</v>
      </c>
      <c r="I101" s="34" t="s">
        <v>96</v>
      </c>
      <c r="K101" s="19" t="str">
        <f>_xlfn.XLOOKUP(L101,Values!$A$137:$A$140,Values!$B$137:$B$140)</f>
        <v>26 bis 70</v>
      </c>
      <c r="L101" s="51">
        <v>26</v>
      </c>
      <c r="M101" s="19" t="s">
        <v>10</v>
      </c>
      <c r="O101" s="40">
        <f>ROUNDUP(L101/20,0)*3</f>
        <v>6</v>
      </c>
      <c r="P101" s="36">
        <f>(+Start!$C$13*2)/60*60</f>
        <v>2</v>
      </c>
      <c r="Q101" s="37">
        <f>+Start!$C$29</f>
        <v>14</v>
      </c>
      <c r="S101" s="24">
        <f>+O101*P101/60*Q101</f>
        <v>2.8000000000000003</v>
      </c>
      <c r="T101" s="25">
        <f t="shared" si="42"/>
        <v>0.1076923076923077</v>
      </c>
      <c r="U101" s="25">
        <f>+T101/Start!$C$15</f>
        <v>3.0769230769230769E-3</v>
      </c>
      <c r="V101" s="25">
        <f>+U101/1000*Start!$C$18</f>
        <v>1.5384615384615385E-3</v>
      </c>
      <c r="W101" s="25">
        <f t="shared" si="40"/>
        <v>0</v>
      </c>
      <c r="X101" s="25">
        <f t="shared" si="41"/>
        <v>7.6923076923076927E-3</v>
      </c>
      <c r="Y101" s="25" t="str">
        <f>IF(I101="Strom",T101/Q101/(Start!$C$15),"")</f>
        <v/>
      </c>
      <c r="Z101" s="25" t="str">
        <f t="shared" si="38"/>
        <v/>
      </c>
    </row>
    <row r="102" spans="1:26" ht="15" customHeight="1">
      <c r="A102" s="17">
        <v>101</v>
      </c>
      <c r="B102" s="18" t="s">
        <v>63</v>
      </c>
      <c r="C102" s="18" t="s">
        <v>53</v>
      </c>
      <c r="D102" s="17" t="s">
        <v>230</v>
      </c>
      <c r="E102" s="17" t="s">
        <v>230</v>
      </c>
      <c r="F102" s="17" t="s">
        <v>230</v>
      </c>
      <c r="G102" s="19" t="s">
        <v>97</v>
      </c>
      <c r="H102" s="18" t="s">
        <v>117</v>
      </c>
      <c r="I102" s="18" t="s">
        <v>117</v>
      </c>
      <c r="J102" s="19" t="s">
        <v>116</v>
      </c>
      <c r="K102" s="19" t="str">
        <f>_xlfn.XLOOKUP(L102,Values!$A$137:$A$140,Values!$B$137:$B$140)</f>
        <v>26 bis 70</v>
      </c>
      <c r="L102" s="51">
        <v>26</v>
      </c>
      <c r="M102" s="19" t="s">
        <v>10</v>
      </c>
      <c r="O102" s="35"/>
      <c r="P102" s="56"/>
      <c r="Q102" s="43">
        <f>+Start!$C$30</f>
        <v>0.28999999999999998</v>
      </c>
      <c r="S102" s="24">
        <f>(+S99+S100+S101+S98)*Q102</f>
        <v>38.068470588235286</v>
      </c>
      <c r="T102" s="25">
        <f t="shared" si="42"/>
        <v>1.4641719457013571</v>
      </c>
      <c r="U102" s="25">
        <f>+T102/Start!$C$15</f>
        <v>4.1833484162895916E-2</v>
      </c>
      <c r="V102" s="25">
        <f>+U102/1000*Start!$C$18</f>
        <v>2.0916742081447958E-2</v>
      </c>
      <c r="W102" s="25">
        <f t="shared" si="40"/>
        <v>0</v>
      </c>
      <c r="X102" s="25" t="str">
        <f t="shared" si="41"/>
        <v/>
      </c>
      <c r="Y102" s="25" t="str">
        <f>IF(I102="Strom",T102/Q102/(Start!$C$15),"")</f>
        <v/>
      </c>
      <c r="Z102" s="25" t="str">
        <f t="shared" si="38"/>
        <v/>
      </c>
    </row>
    <row r="103" spans="1:26" ht="15" customHeight="1">
      <c r="A103" s="17">
        <v>102</v>
      </c>
      <c r="B103" s="18" t="s">
        <v>63</v>
      </c>
      <c r="C103" s="18" t="s">
        <v>53</v>
      </c>
      <c r="D103" s="17" t="s">
        <v>230</v>
      </c>
      <c r="E103" s="17" t="s">
        <v>230</v>
      </c>
      <c r="F103" s="17" t="s">
        <v>230</v>
      </c>
      <c r="G103" s="19" t="s">
        <v>97</v>
      </c>
      <c r="H103" s="20" t="s">
        <v>47</v>
      </c>
      <c r="I103" s="18" t="s">
        <v>19</v>
      </c>
      <c r="J103" s="18" t="s">
        <v>110</v>
      </c>
      <c r="K103" s="19" t="str">
        <f>_xlfn.XLOOKUP(L103,Values!$A$137:$A$140,Values!$B$137:$B$140)</f>
        <v>26 bis 70</v>
      </c>
      <c r="L103" s="51">
        <v>26</v>
      </c>
      <c r="M103" s="19" t="s">
        <v>10</v>
      </c>
      <c r="O103" s="40">
        <f>ROUNDUP(L103/20,0)*3</f>
        <v>6</v>
      </c>
      <c r="P103" s="32"/>
      <c r="Q103" s="41">
        <v>0.35</v>
      </c>
      <c r="S103" s="42">
        <f>+Start!$C$13*2*O103*Q103</f>
        <v>4.1999999999999993</v>
      </c>
      <c r="T103" s="25">
        <f t="shared" si="42"/>
        <v>0.16153846153846152</v>
      </c>
      <c r="U103" s="25">
        <f>+T103/Start!$C$15</f>
        <v>4.6153846153846149E-3</v>
      </c>
      <c r="V103" s="25">
        <f>+U103/1000*Start!$C$18</f>
        <v>2.3076923076923075E-3</v>
      </c>
      <c r="W103" s="25">
        <f t="shared" si="40"/>
        <v>0</v>
      </c>
      <c r="X103" s="25" t="str">
        <f t="shared" si="41"/>
        <v/>
      </c>
      <c r="Y103" s="25" t="str">
        <f>IF(I103="Strom",T103/Q103/(Start!$C$15),"")</f>
        <v/>
      </c>
      <c r="Z103" s="25">
        <f t="shared" si="38"/>
        <v>1.3186813186813187E-2</v>
      </c>
    </row>
    <row r="104" spans="1:26" ht="15" customHeight="1">
      <c r="A104" s="17">
        <v>103</v>
      </c>
      <c r="B104" s="18" t="s">
        <v>63</v>
      </c>
      <c r="C104" s="18" t="s">
        <v>53</v>
      </c>
      <c r="D104" s="17" t="s">
        <v>230</v>
      </c>
      <c r="E104" s="17" t="s">
        <v>230</v>
      </c>
      <c r="F104" s="17" t="s">
        <v>230</v>
      </c>
      <c r="G104" s="19" t="s">
        <v>84</v>
      </c>
      <c r="H104" s="20" t="s">
        <v>86</v>
      </c>
      <c r="I104" s="18" t="s">
        <v>28</v>
      </c>
      <c r="J104" s="19" t="s">
        <v>45</v>
      </c>
      <c r="K104" s="19" t="str">
        <f>_xlfn.XLOOKUP(L104,Values!$A$137:$A$140,Values!$B$137:$B$140)</f>
        <v>71 bis 149</v>
      </c>
      <c r="L104" s="52">
        <v>71</v>
      </c>
      <c r="M104" s="19" t="s">
        <v>5</v>
      </c>
      <c r="O104" s="40">
        <v>1</v>
      </c>
      <c r="Q104" s="57">
        <f>+Q86*1</f>
        <v>7</v>
      </c>
      <c r="S104" s="24">
        <f>+(O104*Q104*L104/(1-Start!$C$16))</f>
        <v>584.70588235294122</v>
      </c>
      <c r="T104" s="25">
        <f>+S104/L104</f>
        <v>8.2352941176470598</v>
      </c>
      <c r="U104" s="25">
        <f>+T104/Start!$C$15</f>
        <v>0.23529411764705885</v>
      </c>
      <c r="V104" s="25">
        <f>+U104/1000*Start!$C$18</f>
        <v>0.11764705882352942</v>
      </c>
      <c r="W104" s="25">
        <f t="shared" si="40"/>
        <v>0</v>
      </c>
      <c r="X104" s="25" t="str">
        <f t="shared" si="41"/>
        <v/>
      </c>
      <c r="Y104" s="25" t="str">
        <f>IF(I104="Strom",T104/Q104/(Start!$C$15),"")</f>
        <v/>
      </c>
      <c r="Z104" s="25" t="str">
        <f t="shared" si="38"/>
        <v/>
      </c>
    </row>
    <row r="105" spans="1:26" ht="15" customHeight="1">
      <c r="A105" s="17">
        <v>104</v>
      </c>
      <c r="B105" s="18" t="s">
        <v>63</v>
      </c>
      <c r="C105" s="18" t="s">
        <v>53</v>
      </c>
      <c r="D105" s="17" t="s">
        <v>230</v>
      </c>
      <c r="E105" s="17" t="s">
        <v>230</v>
      </c>
      <c r="F105" s="17" t="s">
        <v>230</v>
      </c>
      <c r="G105" s="19" t="s">
        <v>84</v>
      </c>
      <c r="H105" s="20" t="s">
        <v>86</v>
      </c>
      <c r="I105" s="18" t="s">
        <v>155</v>
      </c>
      <c r="J105" s="19" t="s">
        <v>51</v>
      </c>
      <c r="K105" s="19" t="str">
        <f>_xlfn.XLOOKUP(L105,Values!$A$137:$A$140,Values!$B$137:$B$140)</f>
        <v>71 bis 149</v>
      </c>
      <c r="L105" s="52">
        <v>71</v>
      </c>
      <c r="M105" s="19" t="s">
        <v>10</v>
      </c>
      <c r="O105" s="40">
        <v>1</v>
      </c>
      <c r="Q105" s="55">
        <f>10+(30/30*L105)</f>
        <v>81</v>
      </c>
      <c r="S105" s="24">
        <f>+(O105*Q105)</f>
        <v>81</v>
      </c>
      <c r="T105" s="25">
        <f t="shared" ref="T105:T112" si="43">+S105/L105</f>
        <v>1.1408450704225352</v>
      </c>
      <c r="U105" s="25">
        <f>+T105/Start!$C$15</f>
        <v>3.2595573440643864E-2</v>
      </c>
      <c r="V105" s="25">
        <f>+U105/1000*Start!$C$18</f>
        <v>1.6297786720321932E-2</v>
      </c>
      <c r="W105" s="25">
        <f t="shared" si="40"/>
        <v>0</v>
      </c>
      <c r="X105" s="25" t="str">
        <f t="shared" si="41"/>
        <v/>
      </c>
      <c r="Y105" s="25" t="str">
        <f>IF(I105="Strom",T105/Q105/(Start!$C$15),"")</f>
        <v/>
      </c>
      <c r="Z105" s="25" t="str">
        <f t="shared" si="38"/>
        <v/>
      </c>
    </row>
    <row r="106" spans="1:26" ht="15" customHeight="1">
      <c r="A106" s="17">
        <v>105</v>
      </c>
      <c r="B106" s="18" t="s">
        <v>63</v>
      </c>
      <c r="C106" s="18" t="s">
        <v>53</v>
      </c>
      <c r="D106" s="17" t="s">
        <v>230</v>
      </c>
      <c r="E106" s="17" t="s">
        <v>230</v>
      </c>
      <c r="F106" s="17" t="s">
        <v>230</v>
      </c>
      <c r="G106" s="19" t="s">
        <v>84</v>
      </c>
      <c r="H106" s="20" t="s">
        <v>176</v>
      </c>
      <c r="I106" s="18" t="s">
        <v>157</v>
      </c>
      <c r="K106" s="19" t="str">
        <f>_xlfn.XLOOKUP(L106,Values!$A$137:$A$140,Values!$B$137:$B$140)</f>
        <v>71 bis 149</v>
      </c>
      <c r="L106" s="52">
        <v>71</v>
      </c>
      <c r="M106" s="19" t="s">
        <v>10</v>
      </c>
      <c r="O106" s="40">
        <f>ROUNDUP(L106/20,0)</f>
        <v>4</v>
      </c>
      <c r="Q106" s="55">
        <v>20</v>
      </c>
      <c r="S106" s="42">
        <f>+Q106*O106</f>
        <v>80</v>
      </c>
      <c r="T106" s="25">
        <f t="shared" si="43"/>
        <v>1.1267605633802817</v>
      </c>
      <c r="U106" s="25">
        <f>+T106/Start!$C$15</f>
        <v>3.2193158953722337E-2</v>
      </c>
      <c r="V106" s="25">
        <f>+U106/1000*Start!$C$18</f>
        <v>1.6096579476861168E-2</v>
      </c>
      <c r="W106" s="25">
        <f t="shared" si="40"/>
        <v>0</v>
      </c>
      <c r="X106" s="25" t="str">
        <f t="shared" si="41"/>
        <v/>
      </c>
      <c r="Y106" s="25" t="str">
        <f>IF(I106="Strom",T106/Q106/(Start!$C$15),"")</f>
        <v/>
      </c>
      <c r="Z106" s="25" t="str">
        <f t="shared" si="38"/>
        <v/>
      </c>
    </row>
    <row r="107" spans="1:26" ht="15" customHeight="1">
      <c r="A107" s="17">
        <v>106</v>
      </c>
      <c r="B107" s="18" t="s">
        <v>63</v>
      </c>
      <c r="C107" s="18" t="s">
        <v>53</v>
      </c>
      <c r="D107" s="17" t="s">
        <v>230</v>
      </c>
      <c r="E107" s="17" t="s">
        <v>230</v>
      </c>
      <c r="F107" s="17" t="s">
        <v>230</v>
      </c>
      <c r="G107" s="19" t="s">
        <v>97</v>
      </c>
      <c r="H107" s="20" t="s">
        <v>0</v>
      </c>
      <c r="I107" s="34" t="s">
        <v>43</v>
      </c>
      <c r="K107" s="19" t="str">
        <f>_xlfn.XLOOKUP(L107,Values!$A$137:$A$140,Values!$B$137:$B$140)</f>
        <v>71 bis 149</v>
      </c>
      <c r="L107" s="52">
        <v>71</v>
      </c>
      <c r="M107" s="19" t="s">
        <v>5</v>
      </c>
      <c r="O107" s="40">
        <v>1</v>
      </c>
      <c r="P107" s="36">
        <v>5</v>
      </c>
      <c r="Q107" s="37">
        <f>+Start!$C$29</f>
        <v>14</v>
      </c>
      <c r="S107" s="24">
        <f>+O107*P107/60*Q107*L107/(1-Start!$C$16)</f>
        <v>97.450980392156865</v>
      </c>
      <c r="T107" s="25">
        <f t="shared" si="43"/>
        <v>1.3725490196078431</v>
      </c>
      <c r="U107" s="25">
        <f>+T107/Start!$C$15</f>
        <v>3.9215686274509803E-2</v>
      </c>
      <c r="V107" s="25">
        <f>+U107/1000*Start!$C$18</f>
        <v>1.9607843137254902E-2</v>
      </c>
      <c r="W107" s="25">
        <f t="shared" si="40"/>
        <v>0</v>
      </c>
      <c r="X107" s="25">
        <f t="shared" si="41"/>
        <v>9.8039215686274508E-2</v>
      </c>
      <c r="Y107" s="25" t="str">
        <f>IF(I107="Strom",T107/Q107/(Start!$C$15),"")</f>
        <v/>
      </c>
      <c r="Z107" s="25" t="str">
        <f t="shared" si="38"/>
        <v/>
      </c>
    </row>
    <row r="108" spans="1:26" ht="15" customHeight="1">
      <c r="A108" s="17">
        <v>107</v>
      </c>
      <c r="B108" s="18" t="s">
        <v>63</v>
      </c>
      <c r="C108" s="18" t="s">
        <v>53</v>
      </c>
      <c r="D108" s="17" t="s">
        <v>230</v>
      </c>
      <c r="E108" s="17" t="s">
        <v>230</v>
      </c>
      <c r="F108" s="17" t="s">
        <v>230</v>
      </c>
      <c r="G108" s="19" t="s">
        <v>97</v>
      </c>
      <c r="H108" s="20" t="s">
        <v>0</v>
      </c>
      <c r="I108" s="34" t="s">
        <v>44</v>
      </c>
      <c r="J108" s="19" t="s">
        <v>45</v>
      </c>
      <c r="K108" s="19" t="str">
        <f>_xlfn.XLOOKUP(L108,Values!$A$137:$A$140,Values!$B$137:$B$140)</f>
        <v>71 bis 149</v>
      </c>
      <c r="L108" s="52">
        <v>71</v>
      </c>
      <c r="M108" s="19" t="s">
        <v>5</v>
      </c>
      <c r="O108" s="40">
        <v>1</v>
      </c>
      <c r="P108" s="36">
        <v>11</v>
      </c>
      <c r="Q108" s="37">
        <f>+Start!$C$29</f>
        <v>14</v>
      </c>
      <c r="S108" s="24">
        <f>+O108*P108/60*Q108*L108/(1-Start!$C$16)</f>
        <v>214.39215686274508</v>
      </c>
      <c r="T108" s="25">
        <f t="shared" si="43"/>
        <v>3.0196078431372548</v>
      </c>
      <c r="U108" s="25">
        <f>+T108/Start!$C$15</f>
        <v>8.6274509803921567E-2</v>
      </c>
      <c r="V108" s="25">
        <f>+U108/1000*Start!$C$18</f>
        <v>4.3137254901960784E-2</v>
      </c>
      <c r="W108" s="25">
        <f t="shared" si="40"/>
        <v>0</v>
      </c>
      <c r="X108" s="25">
        <f t="shared" si="41"/>
        <v>0.2156862745098039</v>
      </c>
      <c r="Y108" s="25" t="str">
        <f>IF(I108="Strom",T108/Q108/(Start!$C$15),"")</f>
        <v/>
      </c>
      <c r="Z108" s="25" t="str">
        <f t="shared" si="38"/>
        <v/>
      </c>
    </row>
    <row r="109" spans="1:26" ht="15" customHeight="1">
      <c r="A109" s="17">
        <v>108</v>
      </c>
      <c r="B109" s="18" t="s">
        <v>63</v>
      </c>
      <c r="C109" s="18" t="s">
        <v>53</v>
      </c>
      <c r="D109" s="17" t="s">
        <v>230</v>
      </c>
      <c r="E109" s="17" t="s">
        <v>230</v>
      </c>
      <c r="F109" s="17" t="s">
        <v>230</v>
      </c>
      <c r="G109" s="19" t="s">
        <v>97</v>
      </c>
      <c r="H109" s="20" t="s">
        <v>0</v>
      </c>
      <c r="I109" s="34" t="s">
        <v>46</v>
      </c>
      <c r="K109" s="19" t="str">
        <f>_xlfn.XLOOKUP(L109,Values!$A$137:$A$140,Values!$B$137:$B$140)</f>
        <v>71 bis 149</v>
      </c>
      <c r="L109" s="52">
        <v>71</v>
      </c>
      <c r="M109" s="19" t="s">
        <v>5</v>
      </c>
      <c r="O109" s="40">
        <v>2</v>
      </c>
      <c r="P109" s="36">
        <v>1</v>
      </c>
      <c r="Q109" s="37">
        <f>+Start!$C$29</f>
        <v>14</v>
      </c>
      <c r="S109" s="24">
        <f>+O109*P109/60*Q109*L109/(1-Start!$C$16)</f>
        <v>38.980392156862749</v>
      </c>
      <c r="T109" s="25">
        <f t="shared" si="43"/>
        <v>0.5490196078431373</v>
      </c>
      <c r="U109" s="25">
        <f>+T109/Start!$C$15</f>
        <v>1.5686274509803921E-2</v>
      </c>
      <c r="V109" s="25">
        <f>+U109/1000*Start!$C$18</f>
        <v>7.8431372549019607E-3</v>
      </c>
      <c r="W109" s="25">
        <f t="shared" si="40"/>
        <v>0</v>
      </c>
      <c r="X109" s="25">
        <f t="shared" si="41"/>
        <v>3.921568627450981E-2</v>
      </c>
      <c r="Y109" s="25" t="str">
        <f>IF(I109="Strom",T109/Q109/(Start!$C$15),"")</f>
        <v/>
      </c>
      <c r="Z109" s="25" t="str">
        <f t="shared" si="38"/>
        <v/>
      </c>
    </row>
    <row r="110" spans="1:26" ht="15" customHeight="1">
      <c r="A110" s="17">
        <v>109</v>
      </c>
      <c r="B110" s="18" t="s">
        <v>63</v>
      </c>
      <c r="C110" s="18" t="s">
        <v>53</v>
      </c>
      <c r="D110" s="17" t="s">
        <v>230</v>
      </c>
      <c r="E110" s="17" t="s">
        <v>230</v>
      </c>
      <c r="F110" s="17" t="s">
        <v>230</v>
      </c>
      <c r="G110" s="19" t="s">
        <v>97</v>
      </c>
      <c r="H110" s="20" t="s">
        <v>0</v>
      </c>
      <c r="I110" s="34" t="s">
        <v>96</v>
      </c>
      <c r="K110" s="19" t="str">
        <f>_xlfn.XLOOKUP(L110,Values!$A$137:$A$140,Values!$B$137:$B$140)</f>
        <v>71 bis 149</v>
      </c>
      <c r="L110" s="52">
        <v>71</v>
      </c>
      <c r="M110" s="19" t="s">
        <v>10</v>
      </c>
      <c r="O110" s="40">
        <f>ROUNDUP(L110/20,0)*3</f>
        <v>12</v>
      </c>
      <c r="P110" s="36">
        <f>(+Start!$C$13*2)/60*60</f>
        <v>2</v>
      </c>
      <c r="Q110" s="37">
        <f>+Start!$C$29</f>
        <v>14</v>
      </c>
      <c r="S110" s="24">
        <f>+O110*P110/60*Q110</f>
        <v>5.6000000000000005</v>
      </c>
      <c r="T110" s="25">
        <f t="shared" si="43"/>
        <v>7.8873239436619724E-2</v>
      </c>
      <c r="U110" s="25">
        <f>+T110/Start!$C$15</f>
        <v>2.2535211267605635E-3</v>
      </c>
      <c r="V110" s="25">
        <f>+U110/1000*Start!$C$18</f>
        <v>1.1267605633802818E-3</v>
      </c>
      <c r="W110" s="25">
        <f t="shared" si="40"/>
        <v>0</v>
      </c>
      <c r="X110" s="25">
        <f t="shared" si="41"/>
        <v>5.6338028169014088E-3</v>
      </c>
      <c r="Y110" s="25" t="str">
        <f>IF(I110="Strom",T110/Q110/(Start!$C$15),"")</f>
        <v/>
      </c>
      <c r="Z110" s="25" t="str">
        <f t="shared" si="38"/>
        <v/>
      </c>
    </row>
    <row r="111" spans="1:26" ht="15" customHeight="1">
      <c r="A111" s="17">
        <v>110</v>
      </c>
      <c r="B111" s="18" t="s">
        <v>63</v>
      </c>
      <c r="C111" s="18" t="s">
        <v>53</v>
      </c>
      <c r="D111" s="17" t="s">
        <v>230</v>
      </c>
      <c r="E111" s="17" t="s">
        <v>230</v>
      </c>
      <c r="F111" s="17" t="s">
        <v>230</v>
      </c>
      <c r="G111" s="19" t="s">
        <v>97</v>
      </c>
      <c r="H111" s="18" t="s">
        <v>117</v>
      </c>
      <c r="I111" s="18" t="s">
        <v>117</v>
      </c>
      <c r="J111" s="19" t="s">
        <v>116</v>
      </c>
      <c r="K111" s="19" t="str">
        <f>_xlfn.XLOOKUP(L111,Values!$A$137:$A$140,Values!$B$137:$B$140)</f>
        <v>71 bis 149</v>
      </c>
      <c r="L111" s="52">
        <v>71</v>
      </c>
      <c r="M111" s="19" t="s">
        <v>10</v>
      </c>
      <c r="O111" s="35"/>
      <c r="P111" s="56"/>
      <c r="Q111" s="43">
        <f>+Start!$C$30</f>
        <v>0.28999999999999998</v>
      </c>
      <c r="S111" s="24">
        <f>(+S108+S109+S110+S107)*Q111</f>
        <v>103.36282352941176</v>
      </c>
      <c r="T111" s="25">
        <f t="shared" si="43"/>
        <v>1.4558144159072077</v>
      </c>
      <c r="U111" s="25">
        <f>+T111/Start!$C$15</f>
        <v>4.1594697597348795E-2</v>
      </c>
      <c r="V111" s="25">
        <f>+U111/1000*Start!$C$18</f>
        <v>2.0797348798674398E-2</v>
      </c>
      <c r="W111" s="25">
        <f t="shared" si="40"/>
        <v>0</v>
      </c>
      <c r="X111" s="25" t="str">
        <f t="shared" si="41"/>
        <v/>
      </c>
      <c r="Y111" s="25" t="str">
        <f>IF(I111="Strom",T111/Q111/(Start!$C$15),"")</f>
        <v/>
      </c>
      <c r="Z111" s="25" t="str">
        <f t="shared" si="38"/>
        <v/>
      </c>
    </row>
    <row r="112" spans="1:26" ht="15" customHeight="1">
      <c r="A112" s="17">
        <v>111</v>
      </c>
      <c r="B112" s="18" t="s">
        <v>63</v>
      </c>
      <c r="C112" s="18" t="s">
        <v>53</v>
      </c>
      <c r="D112" s="17" t="s">
        <v>230</v>
      </c>
      <c r="E112" s="17" t="s">
        <v>230</v>
      </c>
      <c r="F112" s="17" t="s">
        <v>230</v>
      </c>
      <c r="G112" s="19" t="s">
        <v>97</v>
      </c>
      <c r="H112" s="20" t="s">
        <v>47</v>
      </c>
      <c r="I112" s="18" t="s">
        <v>19</v>
      </c>
      <c r="J112" s="18" t="s">
        <v>110</v>
      </c>
      <c r="K112" s="19" t="str">
        <f>_xlfn.XLOOKUP(L112,Values!$A$137:$A$140,Values!$B$137:$B$140)</f>
        <v>71 bis 149</v>
      </c>
      <c r="L112" s="52">
        <v>71</v>
      </c>
      <c r="M112" s="19" t="s">
        <v>10</v>
      </c>
      <c r="O112" s="40">
        <f>ROUNDUP(L112/20,0)*3</f>
        <v>12</v>
      </c>
      <c r="P112" s="32"/>
      <c r="Q112" s="41">
        <v>0.35</v>
      </c>
      <c r="S112" s="42">
        <f>+Start!$C$13*2*O112*Q112</f>
        <v>8.3999999999999986</v>
      </c>
      <c r="T112" s="25">
        <f t="shared" si="43"/>
        <v>0.11830985915492956</v>
      </c>
      <c r="U112" s="25">
        <f>+T112/Start!$C$15</f>
        <v>3.3802816901408444E-3</v>
      </c>
      <c r="V112" s="25">
        <f>+U112/1000*Start!$C$18</f>
        <v>1.6901408450704222E-3</v>
      </c>
      <c r="W112" s="25">
        <f t="shared" si="40"/>
        <v>0</v>
      </c>
      <c r="X112" s="25" t="str">
        <f t="shared" si="41"/>
        <v/>
      </c>
      <c r="Y112" s="25" t="str">
        <f>IF(I112="Strom",T112/Q112/(Start!$C$15),"")</f>
        <v/>
      </c>
      <c r="Z112" s="25">
        <f t="shared" si="38"/>
        <v>9.6579476861166982E-3</v>
      </c>
    </row>
    <row r="113" spans="1:26" ht="15" customHeight="1">
      <c r="A113" s="17">
        <v>112</v>
      </c>
      <c r="B113" s="18" t="s">
        <v>63</v>
      </c>
      <c r="C113" s="18" t="s">
        <v>53</v>
      </c>
      <c r="D113" s="17" t="s">
        <v>230</v>
      </c>
      <c r="E113" s="17" t="s">
        <v>230</v>
      </c>
      <c r="F113" s="17" t="s">
        <v>230</v>
      </c>
      <c r="G113" s="19" t="s">
        <v>84</v>
      </c>
      <c r="H113" s="20" t="s">
        <v>86</v>
      </c>
      <c r="I113" s="18" t="s">
        <v>28</v>
      </c>
      <c r="J113" s="19" t="s">
        <v>45</v>
      </c>
      <c r="K113" s="19" t="str">
        <f>_xlfn.XLOOKUP(L113,Values!$A$137:$A$140,Values!$B$137:$B$140)</f>
        <v>150 und mehr</v>
      </c>
      <c r="L113" s="53">
        <v>150</v>
      </c>
      <c r="M113" s="19" t="s">
        <v>5</v>
      </c>
      <c r="O113" s="40">
        <v>1</v>
      </c>
      <c r="Q113" s="57">
        <f>+Q86*1</f>
        <v>7</v>
      </c>
      <c r="S113" s="24">
        <f>+(O113*Q113*L113/(1-Start!$C$16))</f>
        <v>1235.2941176470588</v>
      </c>
      <c r="T113" s="25">
        <f>+S113/L113</f>
        <v>8.235294117647058</v>
      </c>
      <c r="U113" s="25">
        <f>+T113/Start!$C$15</f>
        <v>0.23529411764705879</v>
      </c>
      <c r="V113" s="25">
        <f>+U113/1000*Start!$C$18</f>
        <v>0.1176470588235294</v>
      </c>
      <c r="W113" s="25">
        <f t="shared" si="40"/>
        <v>0</v>
      </c>
      <c r="X113" s="25" t="str">
        <f t="shared" si="41"/>
        <v/>
      </c>
      <c r="Y113" s="25" t="str">
        <f>IF(I113="Strom",T113/Q113/(Start!$C$15),"")</f>
        <v/>
      </c>
      <c r="Z113" s="25" t="str">
        <f t="shared" si="38"/>
        <v/>
      </c>
    </row>
    <row r="114" spans="1:26" ht="15" customHeight="1">
      <c r="A114" s="17">
        <v>113</v>
      </c>
      <c r="B114" s="18" t="s">
        <v>63</v>
      </c>
      <c r="C114" s="18" t="s">
        <v>53</v>
      </c>
      <c r="D114" s="17" t="s">
        <v>230</v>
      </c>
      <c r="E114" s="17" t="s">
        <v>230</v>
      </c>
      <c r="F114" s="17" t="s">
        <v>230</v>
      </c>
      <c r="G114" s="19" t="s">
        <v>84</v>
      </c>
      <c r="H114" s="20" t="s">
        <v>86</v>
      </c>
      <c r="I114" s="18" t="s">
        <v>155</v>
      </c>
      <c r="J114" s="19" t="s">
        <v>51</v>
      </c>
      <c r="K114" s="19" t="str">
        <f>_xlfn.XLOOKUP(L114,Values!$A$137:$A$140,Values!$B$137:$B$140)</f>
        <v>150 und mehr</v>
      </c>
      <c r="L114" s="53">
        <v>150</v>
      </c>
      <c r="M114" s="19" t="s">
        <v>10</v>
      </c>
      <c r="O114" s="40">
        <v>1</v>
      </c>
      <c r="Q114" s="55">
        <f>10+(30/30*L114)</f>
        <v>160</v>
      </c>
      <c r="S114" s="24">
        <f>+(O114*Q114)</f>
        <v>160</v>
      </c>
      <c r="T114" s="25">
        <f t="shared" ref="T114:T121" si="44">+S114/L114</f>
        <v>1.0666666666666667</v>
      </c>
      <c r="U114" s="25">
        <f>+T114/Start!$C$15</f>
        <v>3.0476190476190476E-2</v>
      </c>
      <c r="V114" s="25">
        <f>+U114/1000*Start!$C$18</f>
        <v>1.5238095238095238E-2</v>
      </c>
      <c r="W114" s="25">
        <f t="shared" si="40"/>
        <v>0</v>
      </c>
      <c r="X114" s="25" t="str">
        <f t="shared" si="41"/>
        <v/>
      </c>
      <c r="Y114" s="25" t="str">
        <f>IF(I114="Strom",T114/Q114/(Start!$C$15),"")</f>
        <v/>
      </c>
      <c r="Z114" s="25" t="str">
        <f t="shared" si="38"/>
        <v/>
      </c>
    </row>
    <row r="115" spans="1:26" ht="15" customHeight="1">
      <c r="A115" s="17">
        <v>114</v>
      </c>
      <c r="B115" s="18" t="s">
        <v>63</v>
      </c>
      <c r="C115" s="18" t="s">
        <v>53</v>
      </c>
      <c r="D115" s="17" t="s">
        <v>230</v>
      </c>
      <c r="E115" s="17" t="s">
        <v>230</v>
      </c>
      <c r="F115" s="17" t="s">
        <v>230</v>
      </c>
      <c r="G115" s="19" t="s">
        <v>84</v>
      </c>
      <c r="H115" s="20" t="s">
        <v>176</v>
      </c>
      <c r="I115" s="18" t="s">
        <v>157</v>
      </c>
      <c r="K115" s="19" t="str">
        <f>_xlfn.XLOOKUP(L115,Values!$A$137:$A$140,Values!$B$137:$B$140)</f>
        <v>150 und mehr</v>
      </c>
      <c r="L115" s="53">
        <v>150</v>
      </c>
      <c r="M115" s="19" t="s">
        <v>10</v>
      </c>
      <c r="O115" s="40">
        <f>ROUNDUP(L115/20,0)</f>
        <v>8</v>
      </c>
      <c r="Q115" s="55">
        <v>20</v>
      </c>
      <c r="S115" s="42">
        <f>+Q115*O115</f>
        <v>160</v>
      </c>
      <c r="T115" s="25">
        <f t="shared" si="44"/>
        <v>1.0666666666666667</v>
      </c>
      <c r="U115" s="25">
        <f>+T115/Start!$C$15</f>
        <v>3.0476190476190476E-2</v>
      </c>
      <c r="V115" s="25">
        <f>+U115/1000*Start!$C$18</f>
        <v>1.5238095238095238E-2</v>
      </c>
      <c r="W115" s="25">
        <f t="shared" si="40"/>
        <v>0</v>
      </c>
      <c r="X115" s="25" t="str">
        <f t="shared" si="41"/>
        <v/>
      </c>
      <c r="Y115" s="25" t="str">
        <f>IF(I115="Strom",T115/Q115/(Start!$C$15),"")</f>
        <v/>
      </c>
      <c r="Z115" s="25" t="str">
        <f t="shared" si="38"/>
        <v/>
      </c>
    </row>
    <row r="116" spans="1:26" ht="15" customHeight="1">
      <c r="A116" s="17">
        <v>115</v>
      </c>
      <c r="B116" s="18" t="s">
        <v>63</v>
      </c>
      <c r="C116" s="18" t="s">
        <v>53</v>
      </c>
      <c r="D116" s="17" t="s">
        <v>230</v>
      </c>
      <c r="E116" s="17" t="s">
        <v>230</v>
      </c>
      <c r="F116" s="17" t="s">
        <v>230</v>
      </c>
      <c r="G116" s="19" t="s">
        <v>97</v>
      </c>
      <c r="H116" s="20" t="s">
        <v>0</v>
      </c>
      <c r="I116" s="34" t="s">
        <v>43</v>
      </c>
      <c r="K116" s="19" t="str">
        <f>_xlfn.XLOOKUP(L116,Values!$A$137:$A$140,Values!$B$137:$B$140)</f>
        <v>150 und mehr</v>
      </c>
      <c r="L116" s="53">
        <v>150</v>
      </c>
      <c r="M116" s="19" t="s">
        <v>5</v>
      </c>
      <c r="O116" s="40">
        <v>1</v>
      </c>
      <c r="P116" s="36">
        <v>5</v>
      </c>
      <c r="Q116" s="37">
        <f>+Start!$C$29</f>
        <v>14</v>
      </c>
      <c r="S116" s="24">
        <f>+O116*P116/60*Q116*L116/(1-Start!$C$16)</f>
        <v>205.88235294117644</v>
      </c>
      <c r="T116" s="25">
        <f t="shared" si="44"/>
        <v>1.3725490196078429</v>
      </c>
      <c r="U116" s="25">
        <f>+T116/Start!$C$15</f>
        <v>3.9215686274509796E-2</v>
      </c>
      <c r="V116" s="25">
        <f>+U116/1000*Start!$C$18</f>
        <v>1.9607843137254898E-2</v>
      </c>
      <c r="W116" s="25">
        <f t="shared" si="40"/>
        <v>0</v>
      </c>
      <c r="X116" s="25">
        <f t="shared" si="41"/>
        <v>9.8039215686274495E-2</v>
      </c>
      <c r="Y116" s="25" t="str">
        <f>IF(I116="Strom",T116/Q116/(Start!$C$15),"")</f>
        <v/>
      </c>
      <c r="Z116" s="25" t="str">
        <f t="shared" si="38"/>
        <v/>
      </c>
    </row>
    <row r="117" spans="1:26" ht="15" customHeight="1">
      <c r="A117" s="17">
        <v>116</v>
      </c>
      <c r="B117" s="18" t="s">
        <v>63</v>
      </c>
      <c r="C117" s="18" t="s">
        <v>53</v>
      </c>
      <c r="D117" s="17" t="s">
        <v>230</v>
      </c>
      <c r="E117" s="17" t="s">
        <v>230</v>
      </c>
      <c r="F117" s="17" t="s">
        <v>230</v>
      </c>
      <c r="G117" s="19" t="s">
        <v>97</v>
      </c>
      <c r="H117" s="20" t="s">
        <v>0</v>
      </c>
      <c r="I117" s="34" t="s">
        <v>44</v>
      </c>
      <c r="J117" s="19" t="s">
        <v>45</v>
      </c>
      <c r="K117" s="19" t="str">
        <f>_xlfn.XLOOKUP(L117,Values!$A$137:$A$140,Values!$B$137:$B$140)</f>
        <v>150 und mehr</v>
      </c>
      <c r="L117" s="53">
        <v>150</v>
      </c>
      <c r="M117" s="19" t="s">
        <v>5</v>
      </c>
      <c r="O117" s="40">
        <v>1</v>
      </c>
      <c r="P117" s="36">
        <v>11</v>
      </c>
      <c r="Q117" s="37">
        <f>+Start!$C$29</f>
        <v>14</v>
      </c>
      <c r="S117" s="24">
        <f>+O117*P117/60*Q117*L117/(1-Start!$C$16)</f>
        <v>452.94117647058818</v>
      </c>
      <c r="T117" s="25">
        <f t="shared" si="44"/>
        <v>3.0196078431372544</v>
      </c>
      <c r="U117" s="25">
        <f>+T117/Start!$C$15</f>
        <v>8.6274509803921554E-2</v>
      </c>
      <c r="V117" s="25">
        <f>+U117/1000*Start!$C$18</f>
        <v>4.3137254901960777E-2</v>
      </c>
      <c r="W117" s="25">
        <f t="shared" si="40"/>
        <v>0</v>
      </c>
      <c r="X117" s="25">
        <f t="shared" si="41"/>
        <v>0.2156862745098039</v>
      </c>
      <c r="Y117" s="25" t="str">
        <f>IF(I117="Strom",T117/Q117/(Start!$C$15),"")</f>
        <v/>
      </c>
      <c r="Z117" s="25" t="str">
        <f t="shared" si="38"/>
        <v/>
      </c>
    </row>
    <row r="118" spans="1:26" ht="15" customHeight="1">
      <c r="A118" s="17">
        <v>117</v>
      </c>
      <c r="B118" s="18" t="s">
        <v>63</v>
      </c>
      <c r="C118" s="18" t="s">
        <v>53</v>
      </c>
      <c r="D118" s="17" t="s">
        <v>230</v>
      </c>
      <c r="E118" s="17" t="s">
        <v>230</v>
      </c>
      <c r="F118" s="17" t="s">
        <v>230</v>
      </c>
      <c r="G118" s="19" t="s">
        <v>97</v>
      </c>
      <c r="H118" s="20" t="s">
        <v>0</v>
      </c>
      <c r="I118" s="34" t="s">
        <v>46</v>
      </c>
      <c r="K118" s="19" t="str">
        <f>_xlfn.XLOOKUP(L118,Values!$A$137:$A$140,Values!$B$137:$B$140)</f>
        <v>150 und mehr</v>
      </c>
      <c r="L118" s="53">
        <v>150</v>
      </c>
      <c r="M118" s="19" t="s">
        <v>5</v>
      </c>
      <c r="O118" s="40">
        <v>2</v>
      </c>
      <c r="P118" s="36">
        <v>1</v>
      </c>
      <c r="Q118" s="37">
        <f>+Start!$C$29</f>
        <v>14</v>
      </c>
      <c r="S118" s="24">
        <f>+O118*P118/60*Q118*L118/(1-Start!$C$16)</f>
        <v>82.352941176470594</v>
      </c>
      <c r="T118" s="25">
        <f t="shared" si="44"/>
        <v>0.5490196078431373</v>
      </c>
      <c r="U118" s="25">
        <f>+T118/Start!$C$15</f>
        <v>1.5686274509803921E-2</v>
      </c>
      <c r="V118" s="25">
        <f>+U118/1000*Start!$C$18</f>
        <v>7.8431372549019607E-3</v>
      </c>
      <c r="W118" s="25">
        <f t="shared" si="40"/>
        <v>0</v>
      </c>
      <c r="X118" s="25">
        <f t="shared" si="41"/>
        <v>3.9215686274509803E-2</v>
      </c>
      <c r="Y118" s="25" t="str">
        <f>IF(I118="Strom",T118/Q118/(Start!$C$15),"")</f>
        <v/>
      </c>
      <c r="Z118" s="25" t="str">
        <f t="shared" si="38"/>
        <v/>
      </c>
    </row>
    <row r="119" spans="1:26" ht="15" customHeight="1">
      <c r="A119" s="17">
        <v>118</v>
      </c>
      <c r="B119" s="18" t="s">
        <v>63</v>
      </c>
      <c r="C119" s="18" t="s">
        <v>53</v>
      </c>
      <c r="D119" s="17" t="s">
        <v>230</v>
      </c>
      <c r="E119" s="17" t="s">
        <v>230</v>
      </c>
      <c r="F119" s="17" t="s">
        <v>230</v>
      </c>
      <c r="G119" s="19" t="s">
        <v>97</v>
      </c>
      <c r="H119" s="20" t="s">
        <v>0</v>
      </c>
      <c r="I119" s="34" t="s">
        <v>96</v>
      </c>
      <c r="K119" s="19" t="str">
        <f>_xlfn.XLOOKUP(L119,Values!$A$137:$A$140,Values!$B$137:$B$140)</f>
        <v>150 und mehr</v>
      </c>
      <c r="L119" s="53">
        <v>150</v>
      </c>
      <c r="M119" s="19" t="s">
        <v>10</v>
      </c>
      <c r="O119" s="40">
        <f>ROUNDUP(L119/20,0)*3</f>
        <v>24</v>
      </c>
      <c r="P119" s="36">
        <f>(+Start!$C$13*2)/60*60</f>
        <v>2</v>
      </c>
      <c r="Q119" s="37">
        <f>+Start!$C$29</f>
        <v>14</v>
      </c>
      <c r="S119" s="24">
        <f>+O119*P119/60*Q119</f>
        <v>11.200000000000001</v>
      </c>
      <c r="T119" s="25">
        <f t="shared" si="44"/>
        <v>7.4666666666666673E-2</v>
      </c>
      <c r="U119" s="25">
        <f>+T119/Start!$C$15</f>
        <v>2.1333333333333334E-3</v>
      </c>
      <c r="V119" s="25">
        <f>+U119/1000*Start!$C$18</f>
        <v>1.0666666666666667E-3</v>
      </c>
      <c r="W119" s="25">
        <f t="shared" si="40"/>
        <v>0</v>
      </c>
      <c r="X119" s="25">
        <f t="shared" si="41"/>
        <v>5.333333333333334E-3</v>
      </c>
      <c r="Y119" s="25" t="str">
        <f>IF(I119="Strom",T119/Q119/(Start!$C$15),"")</f>
        <v/>
      </c>
      <c r="Z119" s="25" t="str">
        <f t="shared" si="38"/>
        <v/>
      </c>
    </row>
    <row r="120" spans="1:26" ht="15" customHeight="1">
      <c r="A120" s="17">
        <v>119</v>
      </c>
      <c r="B120" s="18" t="s">
        <v>63</v>
      </c>
      <c r="C120" s="18" t="s">
        <v>53</v>
      </c>
      <c r="D120" s="17" t="s">
        <v>230</v>
      </c>
      <c r="E120" s="17" t="s">
        <v>230</v>
      </c>
      <c r="F120" s="17" t="s">
        <v>230</v>
      </c>
      <c r="G120" s="19" t="s">
        <v>97</v>
      </c>
      <c r="H120" s="18" t="s">
        <v>117</v>
      </c>
      <c r="I120" s="18" t="s">
        <v>117</v>
      </c>
      <c r="J120" s="19" t="s">
        <v>116</v>
      </c>
      <c r="K120" s="19" t="str">
        <f>_xlfn.XLOOKUP(L120,Values!$A$137:$A$140,Values!$B$137:$B$140)</f>
        <v>150 und mehr</v>
      </c>
      <c r="L120" s="53">
        <v>150</v>
      </c>
      <c r="M120" s="19" t="s">
        <v>10</v>
      </c>
      <c r="O120" s="35"/>
      <c r="P120" s="56"/>
      <c r="Q120" s="43">
        <f>+Start!$C$30</f>
        <v>0.28999999999999998</v>
      </c>
      <c r="S120" s="24">
        <f>(+S117+S118+S119+S116)*Q120</f>
        <v>218.18917647058822</v>
      </c>
      <c r="T120" s="25">
        <f t="shared" si="44"/>
        <v>1.4545945098039215</v>
      </c>
      <c r="U120" s="25">
        <f>+T120/Start!$C$15</f>
        <v>4.1559843137254901E-2</v>
      </c>
      <c r="V120" s="25">
        <f>+U120/1000*Start!$C$18</f>
        <v>2.077992156862745E-2</v>
      </c>
      <c r="W120" s="25">
        <f t="shared" si="40"/>
        <v>0</v>
      </c>
      <c r="X120" s="25" t="str">
        <f t="shared" si="41"/>
        <v/>
      </c>
      <c r="Y120" s="25" t="str">
        <f>IF(I120="Strom",T120/Q120/(Start!$C$15),"")</f>
        <v/>
      </c>
      <c r="Z120" s="25" t="str">
        <f t="shared" si="38"/>
        <v/>
      </c>
    </row>
    <row r="121" spans="1:26" ht="15" customHeight="1">
      <c r="A121" s="17">
        <v>120</v>
      </c>
      <c r="B121" s="18" t="s">
        <v>63</v>
      </c>
      <c r="C121" s="18" t="s">
        <v>53</v>
      </c>
      <c r="D121" s="17" t="s">
        <v>230</v>
      </c>
      <c r="E121" s="17" t="s">
        <v>230</v>
      </c>
      <c r="F121" s="17" t="s">
        <v>230</v>
      </c>
      <c r="G121" s="19" t="s">
        <v>97</v>
      </c>
      <c r="H121" s="20" t="s">
        <v>47</v>
      </c>
      <c r="I121" s="18" t="s">
        <v>19</v>
      </c>
      <c r="J121" s="18" t="s">
        <v>110</v>
      </c>
      <c r="K121" s="19" t="str">
        <f>_xlfn.XLOOKUP(L121,Values!$A$137:$A$140,Values!$B$137:$B$140)</f>
        <v>150 und mehr</v>
      </c>
      <c r="L121" s="53">
        <v>150</v>
      </c>
      <c r="M121" s="19" t="s">
        <v>10</v>
      </c>
      <c r="O121" s="40">
        <f>ROUNDUP(L121/20,0)*3</f>
        <v>24</v>
      </c>
      <c r="P121" s="32"/>
      <c r="Q121" s="41">
        <v>0.35</v>
      </c>
      <c r="S121" s="42">
        <f>+Start!$C$13*2*O121*Q121</f>
        <v>16.799999999999997</v>
      </c>
      <c r="T121" s="25">
        <f t="shared" si="44"/>
        <v>0.11199999999999997</v>
      </c>
      <c r="U121" s="25">
        <f>+T121/Start!$C$15</f>
        <v>3.1999999999999993E-3</v>
      </c>
      <c r="V121" s="25">
        <f>+U121/1000*Start!$C$18</f>
        <v>1.5999999999999996E-3</v>
      </c>
      <c r="W121" s="25">
        <f t="shared" si="40"/>
        <v>0</v>
      </c>
      <c r="X121" s="25" t="str">
        <f t="shared" si="41"/>
        <v/>
      </c>
      <c r="Y121" s="25" t="str">
        <f>IF(I121="Strom",T121/Q121/(Start!$C$15),"")</f>
        <v/>
      </c>
      <c r="Z121" s="25">
        <f t="shared" si="38"/>
        <v>9.1428571428571418E-3</v>
      </c>
    </row>
    <row r="122" spans="1:26" ht="15" customHeight="1">
      <c r="A122" s="17">
        <v>121</v>
      </c>
      <c r="B122" s="18" t="s">
        <v>63</v>
      </c>
      <c r="C122" s="18" t="s">
        <v>4</v>
      </c>
      <c r="D122" s="17" t="s">
        <v>230</v>
      </c>
      <c r="E122" s="17" t="s">
        <v>230</v>
      </c>
      <c r="F122" s="17" t="s">
        <v>230</v>
      </c>
      <c r="G122" s="19" t="s">
        <v>97</v>
      </c>
      <c r="H122" s="20" t="s">
        <v>3</v>
      </c>
      <c r="I122" s="18" t="s">
        <v>40</v>
      </c>
      <c r="K122" s="19" t="str">
        <f>_xlfn.XLOOKUP(L122,Values!$A$137:$A$140,Values!$B$137:$B$140)</f>
        <v>1 bis 25</v>
      </c>
      <c r="L122" s="21">
        <v>6</v>
      </c>
      <c r="M122" s="19" t="s">
        <v>10</v>
      </c>
      <c r="N122" s="22">
        <v>15</v>
      </c>
      <c r="Q122" s="58">
        <v>400</v>
      </c>
      <c r="R122" s="39">
        <f>+Q122</f>
        <v>400</v>
      </c>
      <c r="S122" s="24">
        <f>+R122/N122</f>
        <v>26.666666666666668</v>
      </c>
      <c r="T122" s="25">
        <f>+S122/L122</f>
        <v>4.4444444444444446</v>
      </c>
      <c r="U122" s="25">
        <f>+T122/Start!$C$15</f>
        <v>0.12698412698412698</v>
      </c>
      <c r="V122" s="25">
        <f>+U122/1000*Start!$C$18</f>
        <v>6.3492063492063489E-2</v>
      </c>
      <c r="W122" s="25">
        <f t="shared" si="40"/>
        <v>66.666666666666671</v>
      </c>
      <c r="X122" s="25" t="str">
        <f t="shared" si="41"/>
        <v/>
      </c>
      <c r="Y122" s="25" t="str">
        <f>IF(I122="Strom",T122/Q122/(Start!$C$15),"")</f>
        <v/>
      </c>
      <c r="Z122" s="25" t="str">
        <f t="shared" si="38"/>
        <v/>
      </c>
    </row>
    <row r="123" spans="1:26" ht="15" customHeight="1">
      <c r="A123" s="17">
        <v>122</v>
      </c>
      <c r="B123" s="18" t="s">
        <v>63</v>
      </c>
      <c r="C123" s="18" t="s">
        <v>4</v>
      </c>
      <c r="D123" s="17" t="s">
        <v>230</v>
      </c>
      <c r="E123" s="17" t="s">
        <v>230</v>
      </c>
      <c r="F123" s="17" t="s">
        <v>230</v>
      </c>
      <c r="G123" s="19" t="s">
        <v>84</v>
      </c>
      <c r="H123" s="20" t="s">
        <v>86</v>
      </c>
      <c r="I123" s="18" t="s">
        <v>1</v>
      </c>
      <c r="J123" s="19" t="s">
        <v>39</v>
      </c>
      <c r="K123" s="19" t="str">
        <f>_xlfn.XLOOKUP(L123,Values!$A$137:$A$140,Values!$B$137:$B$140)</f>
        <v>1 bis 25</v>
      </c>
      <c r="L123" s="21">
        <v>6</v>
      </c>
      <c r="M123" s="19" t="s">
        <v>5</v>
      </c>
      <c r="O123" s="59">
        <v>1</v>
      </c>
      <c r="P123" s="32"/>
      <c r="Q123" s="60">
        <v>14</v>
      </c>
      <c r="S123" s="24">
        <f>+(O123*Q123*L123/(1-Start!$C$16))</f>
        <v>98.82352941176471</v>
      </c>
      <c r="T123" s="25">
        <f t="shared" ref="T123:T130" si="45">+S123/L123</f>
        <v>16.47058823529412</v>
      </c>
      <c r="U123" s="25">
        <f>+T123/Start!$C$15</f>
        <v>0.4705882352941177</v>
      </c>
      <c r="V123" s="25">
        <f>+U123/1000*Start!$C$18</f>
        <v>0.23529411764705885</v>
      </c>
      <c r="W123" s="25">
        <f t="shared" si="40"/>
        <v>0</v>
      </c>
      <c r="X123" s="25" t="str">
        <f t="shared" si="41"/>
        <v/>
      </c>
      <c r="Y123" s="25" t="str">
        <f>IF(I123="Strom",T123/Q123/(Start!$C$15),"")</f>
        <v/>
      </c>
      <c r="Z123" s="25" t="str">
        <f t="shared" si="38"/>
        <v/>
      </c>
    </row>
    <row r="124" spans="1:26" ht="15" customHeight="1">
      <c r="A124" s="17">
        <v>123</v>
      </c>
      <c r="B124" s="18" t="s">
        <v>63</v>
      </c>
      <c r="C124" s="18" t="s">
        <v>4</v>
      </c>
      <c r="D124" s="17" t="s">
        <v>230</v>
      </c>
      <c r="E124" s="17" t="s">
        <v>230</v>
      </c>
      <c r="F124" s="17" t="s">
        <v>230</v>
      </c>
      <c r="G124" s="19" t="s">
        <v>84</v>
      </c>
      <c r="H124" s="20" t="s">
        <v>86</v>
      </c>
      <c r="I124" s="20" t="s">
        <v>145</v>
      </c>
      <c r="J124" s="20" t="s">
        <v>146</v>
      </c>
      <c r="K124" s="19" t="str">
        <f>_xlfn.XLOOKUP(L124,Values!$A$137:$A$140,Values!$B$137:$B$140)</f>
        <v>1 bis 25</v>
      </c>
      <c r="L124" s="21">
        <v>6</v>
      </c>
      <c r="M124" s="19" t="s">
        <v>5</v>
      </c>
      <c r="N124" s="61">
        <v>1</v>
      </c>
      <c r="O124" s="62">
        <f>10*0.1</f>
        <v>1</v>
      </c>
      <c r="P124" s="32"/>
      <c r="Q124" s="63">
        <v>0.4</v>
      </c>
      <c r="S124" s="24">
        <f>+(O124*Q124)*L124</f>
        <v>2.4000000000000004</v>
      </c>
      <c r="T124" s="25">
        <f t="shared" si="45"/>
        <v>0.40000000000000008</v>
      </c>
      <c r="U124" s="25">
        <f>+T124/Start!$C$15</f>
        <v>1.142857142857143E-2</v>
      </c>
      <c r="V124" s="25">
        <f>+U124/1000*Start!$C$18</f>
        <v>5.7142857142857151E-3</v>
      </c>
      <c r="W124" s="25">
        <f t="shared" si="40"/>
        <v>0</v>
      </c>
      <c r="X124" s="25" t="str">
        <f t="shared" si="41"/>
        <v/>
      </c>
      <c r="Y124" s="25">
        <f>IF(I124="Strom",T124/Q124/(Start!$C$15),"")</f>
        <v>2.8571428571428577E-2</v>
      </c>
      <c r="Z124" s="25" t="str">
        <f t="shared" si="38"/>
        <v/>
      </c>
    </row>
    <row r="125" spans="1:26" ht="15" customHeight="1">
      <c r="A125" s="17">
        <v>124</v>
      </c>
      <c r="B125" s="18" t="s">
        <v>63</v>
      </c>
      <c r="C125" s="18" t="s">
        <v>4</v>
      </c>
      <c r="D125" s="17" t="s">
        <v>230</v>
      </c>
      <c r="E125" s="17" t="s">
        <v>230</v>
      </c>
      <c r="F125" s="17" t="s">
        <v>230</v>
      </c>
      <c r="G125" s="19" t="s">
        <v>84</v>
      </c>
      <c r="H125" s="20" t="s">
        <v>86</v>
      </c>
      <c r="I125" s="18" t="s">
        <v>182</v>
      </c>
      <c r="J125" s="20" t="s">
        <v>183</v>
      </c>
      <c r="K125" s="19" t="str">
        <f>_xlfn.XLOOKUP(L125,Values!$A$137:$A$140,Values!$B$137:$B$140)</f>
        <v>1 bis 25</v>
      </c>
      <c r="L125" s="21">
        <v>6</v>
      </c>
      <c r="M125" s="19" t="s">
        <v>10</v>
      </c>
      <c r="N125" s="22">
        <v>10</v>
      </c>
      <c r="Q125" s="23">
        <v>20</v>
      </c>
      <c r="R125" s="39"/>
      <c r="S125" s="24">
        <f>+Q125/N125</f>
        <v>2</v>
      </c>
      <c r="T125" s="25">
        <f t="shared" si="45"/>
        <v>0.33333333333333331</v>
      </c>
      <c r="U125" s="25">
        <f>+T125/Start!$C$15</f>
        <v>9.5238095238095229E-3</v>
      </c>
      <c r="V125" s="25">
        <f>+U125/1000*Start!$C$18</f>
        <v>4.7619047619047615E-3</v>
      </c>
      <c r="W125" s="25">
        <f t="shared" si="40"/>
        <v>0</v>
      </c>
      <c r="X125" s="25" t="str">
        <f t="shared" si="41"/>
        <v/>
      </c>
      <c r="Y125" s="25" t="str">
        <f>IF(I125="Strom",T125/Q125/(Start!$C$15),"")</f>
        <v/>
      </c>
      <c r="Z125" s="25" t="str">
        <f t="shared" si="38"/>
        <v/>
      </c>
    </row>
    <row r="126" spans="1:26" ht="15" customHeight="1">
      <c r="A126" s="17">
        <v>125</v>
      </c>
      <c r="B126" s="18" t="s">
        <v>63</v>
      </c>
      <c r="C126" s="18" t="s">
        <v>4</v>
      </c>
      <c r="D126" s="17" t="s">
        <v>230</v>
      </c>
      <c r="E126" s="17" t="s">
        <v>230</v>
      </c>
      <c r="F126" s="17" t="s">
        <v>230</v>
      </c>
      <c r="G126" s="19" t="s">
        <v>84</v>
      </c>
      <c r="H126" s="20" t="s">
        <v>89</v>
      </c>
      <c r="I126" s="18" t="s">
        <v>161</v>
      </c>
      <c r="K126" s="19" t="str">
        <f>_xlfn.XLOOKUP(L126,Values!$A$137:$A$140,Values!$B$137:$B$140)</f>
        <v>1 bis 25</v>
      </c>
      <c r="L126" s="21">
        <v>6</v>
      </c>
      <c r="M126" s="19" t="s">
        <v>10</v>
      </c>
      <c r="O126" s="64">
        <v>1</v>
      </c>
      <c r="Q126" s="55">
        <v>0</v>
      </c>
      <c r="S126" s="42">
        <f>+Q126*O126</f>
        <v>0</v>
      </c>
      <c r="T126" s="25">
        <f t="shared" si="45"/>
        <v>0</v>
      </c>
      <c r="U126" s="25">
        <f>+T126/Start!$C$15</f>
        <v>0</v>
      </c>
      <c r="V126" s="25">
        <f>+U126/1000*Start!$C$18</f>
        <v>0</v>
      </c>
      <c r="W126" s="25">
        <f t="shared" si="40"/>
        <v>0</v>
      </c>
      <c r="X126" s="25" t="str">
        <f t="shared" si="41"/>
        <v/>
      </c>
      <c r="Y126" s="25" t="str">
        <f>IF(I126="Strom",T126/Q126/(Start!$C$15),"")</f>
        <v/>
      </c>
      <c r="Z126" s="25" t="str">
        <f t="shared" si="38"/>
        <v/>
      </c>
    </row>
    <row r="127" spans="1:26" ht="15" customHeight="1">
      <c r="A127" s="17">
        <v>126</v>
      </c>
      <c r="B127" s="18" t="s">
        <v>63</v>
      </c>
      <c r="C127" s="18" t="s">
        <v>4</v>
      </c>
      <c r="D127" s="17" t="s">
        <v>230</v>
      </c>
      <c r="E127" s="17" t="s">
        <v>230</v>
      </c>
      <c r="F127" s="17" t="s">
        <v>230</v>
      </c>
      <c r="G127" s="19" t="s">
        <v>97</v>
      </c>
      <c r="H127" s="20" t="s">
        <v>0</v>
      </c>
      <c r="I127" s="34" t="s">
        <v>41</v>
      </c>
      <c r="K127" s="19" t="str">
        <f>_xlfn.XLOOKUP(L127,Values!$A$137:$A$140,Values!$B$137:$B$140)</f>
        <v>1 bis 25</v>
      </c>
      <c r="L127" s="21">
        <v>6</v>
      </c>
      <c r="M127" s="19" t="s">
        <v>5</v>
      </c>
      <c r="O127" s="40">
        <v>1</v>
      </c>
      <c r="P127" s="36">
        <v>20</v>
      </c>
      <c r="Q127" s="37">
        <f>+Start!$C$29</f>
        <v>14</v>
      </c>
      <c r="S127" s="24">
        <f>+O127*P127/60*Q127*L127/(1-Start!$C$16)</f>
        <v>32.941176470588232</v>
      </c>
      <c r="T127" s="25">
        <f t="shared" si="45"/>
        <v>5.4901960784313717</v>
      </c>
      <c r="U127" s="25">
        <f>+T127/Start!$C$15</f>
        <v>0.15686274509803919</v>
      </c>
      <c r="V127" s="25">
        <f>+U127/1000*Start!$C$18</f>
        <v>7.8431372549019593E-2</v>
      </c>
      <c r="W127" s="25">
        <f t="shared" si="40"/>
        <v>0</v>
      </c>
      <c r="X127" s="25">
        <f t="shared" si="41"/>
        <v>0.39215686274509798</v>
      </c>
      <c r="Y127" s="25" t="str">
        <f>IF(I127="Strom",T127/Q127/(Start!$C$15),"")</f>
        <v/>
      </c>
      <c r="Z127" s="25" t="str">
        <f t="shared" si="38"/>
        <v/>
      </c>
    </row>
    <row r="128" spans="1:26" ht="15" customHeight="1">
      <c r="A128" s="17">
        <v>127</v>
      </c>
      <c r="B128" s="18" t="s">
        <v>63</v>
      </c>
      <c r="C128" s="18" t="s">
        <v>4</v>
      </c>
      <c r="D128" s="17" t="s">
        <v>230</v>
      </c>
      <c r="E128" s="17" t="s">
        <v>230</v>
      </c>
      <c r="F128" s="17" t="s">
        <v>230</v>
      </c>
      <c r="G128" s="19" t="s">
        <v>97</v>
      </c>
      <c r="H128" s="20" t="s">
        <v>0</v>
      </c>
      <c r="I128" s="34" t="s">
        <v>42</v>
      </c>
      <c r="K128" s="19" t="str">
        <f>_xlfn.XLOOKUP(L128,Values!$A$137:$A$140,Values!$B$137:$B$140)</f>
        <v>1 bis 25</v>
      </c>
      <c r="L128" s="21">
        <v>6</v>
      </c>
      <c r="M128" s="19" t="s">
        <v>5</v>
      </c>
      <c r="O128" s="40">
        <v>10</v>
      </c>
      <c r="P128" s="65">
        <v>0.5</v>
      </c>
      <c r="Q128" s="37">
        <f>+Start!$C$29</f>
        <v>14</v>
      </c>
      <c r="S128" s="24">
        <f>+O128*P128/60*Q128*L128/(1-Start!$C$16)</f>
        <v>8.235294117647058</v>
      </c>
      <c r="T128" s="25">
        <f t="shared" si="45"/>
        <v>1.3725490196078429</v>
      </c>
      <c r="U128" s="25">
        <f>+T128/Start!$C$15</f>
        <v>3.9215686274509796E-2</v>
      </c>
      <c r="V128" s="25">
        <f>+U128/1000*Start!$C$18</f>
        <v>1.9607843137254898E-2</v>
      </c>
      <c r="W128" s="25">
        <f t="shared" si="40"/>
        <v>0</v>
      </c>
      <c r="X128" s="25">
        <f t="shared" si="41"/>
        <v>9.8039215686274495E-2</v>
      </c>
      <c r="Y128" s="25" t="str">
        <f>IF(I128="Strom",T128/Q128/(Start!$C$15),"")</f>
        <v/>
      </c>
      <c r="Z128" s="25" t="str">
        <f t="shared" si="38"/>
        <v/>
      </c>
    </row>
    <row r="129" spans="1:26" ht="15" customHeight="1">
      <c r="A129" s="17">
        <v>128</v>
      </c>
      <c r="B129" s="18" t="s">
        <v>63</v>
      </c>
      <c r="C129" s="18" t="s">
        <v>4</v>
      </c>
      <c r="D129" s="17" t="s">
        <v>230</v>
      </c>
      <c r="E129" s="17" t="s">
        <v>230</v>
      </c>
      <c r="F129" s="17" t="s">
        <v>230</v>
      </c>
      <c r="G129" s="19" t="s">
        <v>97</v>
      </c>
      <c r="H129" s="18" t="s">
        <v>117</v>
      </c>
      <c r="I129" s="18" t="s">
        <v>117</v>
      </c>
      <c r="J129" s="19" t="s">
        <v>116</v>
      </c>
      <c r="K129" s="19" t="str">
        <f>_xlfn.XLOOKUP(L129,Values!$A$137:$A$140,Values!$B$137:$B$140)</f>
        <v>1 bis 25</v>
      </c>
      <c r="L129" s="21">
        <v>6</v>
      </c>
      <c r="M129" s="18" t="s">
        <v>10</v>
      </c>
      <c r="O129" s="35"/>
      <c r="P129" s="66"/>
      <c r="Q129" s="43">
        <f>+Start!$C$30</f>
        <v>0.28999999999999998</v>
      </c>
      <c r="S129" s="24">
        <f>(+S127+S128)*Q129</f>
        <v>11.941176470588234</v>
      </c>
      <c r="T129" s="25">
        <f t="shared" si="45"/>
        <v>1.9901960784313724</v>
      </c>
      <c r="U129" s="25">
        <f>+T129/Start!$C$15</f>
        <v>5.6862745098039208E-2</v>
      </c>
      <c r="V129" s="25">
        <f>+U129/1000*Start!$C$18</f>
        <v>2.8431372549019604E-2</v>
      </c>
      <c r="W129" s="25">
        <f t="shared" si="40"/>
        <v>0</v>
      </c>
      <c r="X129" s="25" t="str">
        <f t="shared" si="41"/>
        <v/>
      </c>
      <c r="Y129" s="25" t="str">
        <f>IF(I129="Strom",T129/Q129/(Start!$C$15),"")</f>
        <v/>
      </c>
      <c r="Z129" s="25" t="str">
        <f t="shared" si="38"/>
        <v/>
      </c>
    </row>
    <row r="130" spans="1:26" ht="15" customHeight="1">
      <c r="A130" s="17">
        <v>129</v>
      </c>
      <c r="B130" s="18" t="s">
        <v>63</v>
      </c>
      <c r="C130" s="18" t="s">
        <v>4</v>
      </c>
      <c r="D130" s="17" t="s">
        <v>230</v>
      </c>
      <c r="E130" s="17" t="s">
        <v>230</v>
      </c>
      <c r="F130" s="17" t="s">
        <v>230</v>
      </c>
      <c r="G130" s="19" t="s">
        <v>97</v>
      </c>
      <c r="H130" s="20" t="s">
        <v>48</v>
      </c>
      <c r="I130" s="18" t="s">
        <v>17</v>
      </c>
      <c r="J130" s="19" t="s">
        <v>67</v>
      </c>
      <c r="K130" s="19" t="str">
        <f>_xlfn.XLOOKUP(L130,Values!$A$137:$A$140,Values!$B$137:$B$140)</f>
        <v>1 bis 25</v>
      </c>
      <c r="L130" s="21">
        <v>6</v>
      </c>
      <c r="M130" s="18" t="s">
        <v>10</v>
      </c>
      <c r="N130" s="48"/>
      <c r="O130" s="49">
        <f>SUM(R122:R128)/2</f>
        <v>200</v>
      </c>
      <c r="P130" s="18"/>
      <c r="Q130" s="50">
        <v>0.03</v>
      </c>
      <c r="S130" s="24">
        <f>+O130*Q130</f>
        <v>6</v>
      </c>
      <c r="T130" s="25">
        <f t="shared" si="45"/>
        <v>1</v>
      </c>
      <c r="U130" s="25">
        <f>+T130/Start!$C$15</f>
        <v>2.8571428571428571E-2</v>
      </c>
      <c r="V130" s="25">
        <f>+U130/1000*Start!$C$18</f>
        <v>1.4285714285714285E-2</v>
      </c>
      <c r="W130" s="25">
        <f t="shared" si="40"/>
        <v>0</v>
      </c>
      <c r="X130" s="25" t="str">
        <f t="shared" si="41"/>
        <v/>
      </c>
      <c r="Y130" s="25" t="str">
        <f>IF(I130="Strom",T130/Q130/(Start!$C$15),"")</f>
        <v/>
      </c>
      <c r="Z130" s="25" t="str">
        <f t="shared" si="38"/>
        <v/>
      </c>
    </row>
    <row r="131" spans="1:26" ht="15" customHeight="1">
      <c r="A131" s="17">
        <v>130</v>
      </c>
      <c r="B131" s="18" t="s">
        <v>63</v>
      </c>
      <c r="C131" s="18" t="s">
        <v>4</v>
      </c>
      <c r="D131" s="17" t="s">
        <v>230</v>
      </c>
      <c r="E131" s="17" t="s">
        <v>230</v>
      </c>
      <c r="F131" s="17" t="s">
        <v>230</v>
      </c>
      <c r="G131" s="19" t="s">
        <v>97</v>
      </c>
      <c r="H131" s="20" t="s">
        <v>3</v>
      </c>
      <c r="I131" s="18" t="s">
        <v>40</v>
      </c>
      <c r="K131" s="19" t="str">
        <f>_xlfn.XLOOKUP(L131,Values!$A$137:$A$140,Values!$B$137:$B$140)</f>
        <v>26 bis 70</v>
      </c>
      <c r="L131" s="51">
        <v>26</v>
      </c>
      <c r="M131" s="19" t="s">
        <v>10</v>
      </c>
      <c r="N131" s="22">
        <v>15</v>
      </c>
      <c r="Q131" s="58">
        <f>+Q122*2</f>
        <v>800</v>
      </c>
      <c r="R131" s="39">
        <f>+Q131</f>
        <v>800</v>
      </c>
      <c r="S131" s="24">
        <f>+R131/N131</f>
        <v>53.333333333333336</v>
      </c>
      <c r="T131" s="25">
        <f>+S131/L131</f>
        <v>2.0512820512820515</v>
      </c>
      <c r="U131" s="25">
        <f>+T131/Start!$C$15</f>
        <v>5.8608058608058615E-2</v>
      </c>
      <c r="V131" s="25">
        <f>+U131/1000*Start!$C$18</f>
        <v>2.9304029304029307E-2</v>
      </c>
      <c r="W131" s="25">
        <f t="shared" si="40"/>
        <v>30.76923076923077</v>
      </c>
      <c r="X131" s="25" t="str">
        <f t="shared" si="41"/>
        <v/>
      </c>
      <c r="Y131" s="25" t="str">
        <f>IF(I131="Strom",T131/Q131/(Start!$C$15),"")</f>
        <v/>
      </c>
      <c r="Z131" s="25" t="str">
        <f t="shared" si="38"/>
        <v/>
      </c>
    </row>
    <row r="132" spans="1:26" ht="15" customHeight="1">
      <c r="A132" s="17">
        <v>131</v>
      </c>
      <c r="B132" s="18" t="s">
        <v>63</v>
      </c>
      <c r="C132" s="18" t="s">
        <v>4</v>
      </c>
      <c r="D132" s="17" t="s">
        <v>230</v>
      </c>
      <c r="E132" s="17" t="s">
        <v>230</v>
      </c>
      <c r="F132" s="17" t="s">
        <v>230</v>
      </c>
      <c r="G132" s="19" t="s">
        <v>84</v>
      </c>
      <c r="H132" s="20" t="s">
        <v>86</v>
      </c>
      <c r="I132" s="18" t="s">
        <v>1</v>
      </c>
      <c r="J132" s="19" t="s">
        <v>39</v>
      </c>
      <c r="K132" s="19" t="str">
        <f>_xlfn.XLOOKUP(L132,Values!$A$137:$A$140,Values!$B$137:$B$140)</f>
        <v>26 bis 70</v>
      </c>
      <c r="L132" s="51">
        <v>26</v>
      </c>
      <c r="M132" s="19" t="s">
        <v>5</v>
      </c>
      <c r="O132" s="59">
        <v>1</v>
      </c>
      <c r="P132" s="32"/>
      <c r="Q132" s="33">
        <f>+Q123*0.96</f>
        <v>13.44</v>
      </c>
      <c r="S132" s="24">
        <f>+(O132*Q132*L132/(1-Start!$C$16))</f>
        <v>411.10588235294119</v>
      </c>
      <c r="T132" s="25">
        <f t="shared" ref="T132:T139" si="46">+S132/L132</f>
        <v>15.811764705882354</v>
      </c>
      <c r="U132" s="25">
        <f>+T132/Start!$C$15</f>
        <v>0.45176470588235296</v>
      </c>
      <c r="V132" s="25">
        <f>+U132/1000*Start!$C$18</f>
        <v>0.22588235294117648</v>
      </c>
      <c r="W132" s="25">
        <f t="shared" si="40"/>
        <v>0</v>
      </c>
      <c r="X132" s="25" t="str">
        <f t="shared" si="41"/>
        <v/>
      </c>
      <c r="Y132" s="25" t="str">
        <f>IF(I132="Strom",T132/Q132/(Start!$C$15),"")</f>
        <v/>
      </c>
      <c r="Z132" s="25" t="str">
        <f t="shared" si="38"/>
        <v/>
      </c>
    </row>
    <row r="133" spans="1:26" ht="15" customHeight="1">
      <c r="A133" s="17">
        <v>132</v>
      </c>
      <c r="B133" s="18" t="s">
        <v>63</v>
      </c>
      <c r="C133" s="18" t="s">
        <v>4</v>
      </c>
      <c r="D133" s="17" t="s">
        <v>230</v>
      </c>
      <c r="E133" s="17" t="s">
        <v>230</v>
      </c>
      <c r="F133" s="17" t="s">
        <v>230</v>
      </c>
      <c r="G133" s="19" t="s">
        <v>84</v>
      </c>
      <c r="H133" s="20" t="s">
        <v>86</v>
      </c>
      <c r="I133" s="20" t="s">
        <v>145</v>
      </c>
      <c r="J133" s="20" t="s">
        <v>146</v>
      </c>
      <c r="K133" s="19" t="str">
        <f>_xlfn.XLOOKUP(L133,Values!$A$137:$A$140,Values!$B$137:$B$140)</f>
        <v>26 bis 70</v>
      </c>
      <c r="L133" s="51">
        <v>26</v>
      </c>
      <c r="M133" s="19" t="s">
        <v>5</v>
      </c>
      <c r="N133" s="61">
        <v>1</v>
      </c>
      <c r="O133" s="62">
        <f>10*0.1</f>
        <v>1</v>
      </c>
      <c r="P133" s="32"/>
      <c r="Q133" s="63">
        <v>0.4</v>
      </c>
      <c r="S133" s="24">
        <f>+(O133*Q133)*L133</f>
        <v>10.4</v>
      </c>
      <c r="T133" s="25">
        <f t="shared" si="46"/>
        <v>0.4</v>
      </c>
      <c r="U133" s="25">
        <f>+T133/Start!$C$15</f>
        <v>1.1428571428571429E-2</v>
      </c>
      <c r="V133" s="25">
        <f>+U133/1000*Start!$C$18</f>
        <v>5.7142857142857143E-3</v>
      </c>
      <c r="W133" s="25">
        <f t="shared" si="40"/>
        <v>0</v>
      </c>
      <c r="X133" s="25" t="str">
        <f t="shared" si="41"/>
        <v/>
      </c>
      <c r="Y133" s="25">
        <f>IF(I133="Strom",T133/Q133/(Start!$C$15),"")</f>
        <v>2.8571428571428571E-2</v>
      </c>
      <c r="Z133" s="25" t="str">
        <f t="shared" si="38"/>
        <v/>
      </c>
    </row>
    <row r="134" spans="1:26" ht="15" customHeight="1">
      <c r="A134" s="17">
        <v>133</v>
      </c>
      <c r="B134" s="18" t="s">
        <v>63</v>
      </c>
      <c r="C134" s="18" t="s">
        <v>4</v>
      </c>
      <c r="D134" s="17" t="s">
        <v>230</v>
      </c>
      <c r="E134" s="17" t="s">
        <v>230</v>
      </c>
      <c r="F134" s="17" t="s">
        <v>230</v>
      </c>
      <c r="G134" s="19" t="s">
        <v>84</v>
      </c>
      <c r="H134" s="20" t="s">
        <v>86</v>
      </c>
      <c r="I134" s="18" t="s">
        <v>182</v>
      </c>
      <c r="J134" s="20" t="s">
        <v>183</v>
      </c>
      <c r="K134" s="19" t="str">
        <f>_xlfn.XLOOKUP(L134,Values!$A$137:$A$140,Values!$B$137:$B$140)</f>
        <v>26 bis 70</v>
      </c>
      <c r="L134" s="51">
        <v>26</v>
      </c>
      <c r="M134" s="19" t="s">
        <v>10</v>
      </c>
      <c r="N134" s="22">
        <v>10</v>
      </c>
      <c r="Q134" s="23">
        <v>100</v>
      </c>
      <c r="R134" s="39"/>
      <c r="S134" s="24">
        <f>+Q134/N134</f>
        <v>10</v>
      </c>
      <c r="T134" s="25">
        <f t="shared" si="46"/>
        <v>0.38461538461538464</v>
      </c>
      <c r="U134" s="25">
        <f>+T134/Start!$C$15</f>
        <v>1.098901098901099E-2</v>
      </c>
      <c r="V134" s="25">
        <f>+U134/1000*Start!$C$18</f>
        <v>5.4945054945054949E-3</v>
      </c>
      <c r="W134" s="25">
        <f t="shared" ref="W134" si="47">+R134/L134</f>
        <v>0</v>
      </c>
      <c r="X134" s="25" t="str">
        <f t="shared" ref="X134" si="48">IF(H134="Arbeit",S134/Q134/L134,"")</f>
        <v/>
      </c>
      <c r="Y134" s="25" t="str">
        <f>IF(I134="Strom",T134/Q134/(Start!$C$15),"")</f>
        <v/>
      </c>
      <c r="Z134" s="25" t="str">
        <f t="shared" si="38"/>
        <v/>
      </c>
    </row>
    <row r="135" spans="1:26" ht="15" customHeight="1">
      <c r="A135" s="17">
        <v>134</v>
      </c>
      <c r="B135" s="18" t="s">
        <v>63</v>
      </c>
      <c r="C135" s="18" t="s">
        <v>4</v>
      </c>
      <c r="D135" s="17" t="s">
        <v>230</v>
      </c>
      <c r="E135" s="17" t="s">
        <v>230</v>
      </c>
      <c r="F135" s="17" t="s">
        <v>230</v>
      </c>
      <c r="G135" s="19" t="s">
        <v>84</v>
      </c>
      <c r="H135" s="20" t="s">
        <v>89</v>
      </c>
      <c r="I135" s="18" t="s">
        <v>161</v>
      </c>
      <c r="K135" s="19" t="str">
        <f>_xlfn.XLOOKUP(L135,Values!$A$137:$A$140,Values!$B$137:$B$140)</f>
        <v>26 bis 70</v>
      </c>
      <c r="L135" s="51">
        <v>26</v>
      </c>
      <c r="M135" s="19" t="s">
        <v>10</v>
      </c>
      <c r="O135" s="64">
        <v>1</v>
      </c>
      <c r="Q135" s="55">
        <v>0</v>
      </c>
      <c r="S135" s="42">
        <f>+Q135*O135</f>
        <v>0</v>
      </c>
      <c r="T135" s="25">
        <f t="shared" si="46"/>
        <v>0</v>
      </c>
      <c r="U135" s="25">
        <f>+T135/Start!$C$15</f>
        <v>0</v>
      </c>
      <c r="V135" s="25">
        <f>+U135/1000*Start!$C$18</f>
        <v>0</v>
      </c>
      <c r="W135" s="25">
        <f t="shared" si="40"/>
        <v>0</v>
      </c>
      <c r="X135" s="25" t="str">
        <f t="shared" si="41"/>
        <v/>
      </c>
      <c r="Y135" s="25" t="str">
        <f>IF(I135="Strom",T135/Q135/(Start!$C$15),"")</f>
        <v/>
      </c>
      <c r="Z135" s="25" t="str">
        <f t="shared" si="38"/>
        <v/>
      </c>
    </row>
    <row r="136" spans="1:26" ht="15" customHeight="1">
      <c r="A136" s="17">
        <v>135</v>
      </c>
      <c r="B136" s="18" t="s">
        <v>63</v>
      </c>
      <c r="C136" s="18" t="s">
        <v>4</v>
      </c>
      <c r="D136" s="17" t="s">
        <v>230</v>
      </c>
      <c r="E136" s="17" t="s">
        <v>230</v>
      </c>
      <c r="F136" s="17" t="s">
        <v>230</v>
      </c>
      <c r="G136" s="19" t="s">
        <v>97</v>
      </c>
      <c r="H136" s="20" t="s">
        <v>0</v>
      </c>
      <c r="I136" s="34" t="s">
        <v>41</v>
      </c>
      <c r="K136" s="19" t="str">
        <f>_xlfn.XLOOKUP(L136,Values!$A$137:$A$140,Values!$B$137:$B$140)</f>
        <v>26 bis 70</v>
      </c>
      <c r="L136" s="51">
        <v>26</v>
      </c>
      <c r="M136" s="19" t="s">
        <v>5</v>
      </c>
      <c r="O136" s="40">
        <v>1</v>
      </c>
      <c r="P136" s="36">
        <v>15</v>
      </c>
      <c r="Q136" s="37">
        <f>+Start!$C$29</f>
        <v>14</v>
      </c>
      <c r="S136" s="24">
        <f>+O136*P136/60*Q136*L136/(1-Start!$C$16)</f>
        <v>107.05882352941177</v>
      </c>
      <c r="T136" s="25">
        <f t="shared" si="46"/>
        <v>4.1176470588235299</v>
      </c>
      <c r="U136" s="25">
        <f>+T136/Start!$C$15</f>
        <v>0.11764705882352942</v>
      </c>
      <c r="V136" s="25">
        <f>+U136/1000*Start!$C$18</f>
        <v>5.8823529411764712E-2</v>
      </c>
      <c r="W136" s="25">
        <f t="shared" si="40"/>
        <v>0</v>
      </c>
      <c r="X136" s="25">
        <f t="shared" si="41"/>
        <v>0.29411764705882354</v>
      </c>
      <c r="Y136" s="25" t="str">
        <f>IF(I136="Strom",T136/Q136/(Start!$C$15),"")</f>
        <v/>
      </c>
      <c r="Z136" s="25" t="str">
        <f t="shared" si="38"/>
        <v/>
      </c>
    </row>
    <row r="137" spans="1:26" ht="15" customHeight="1">
      <c r="A137" s="17">
        <v>136</v>
      </c>
      <c r="B137" s="18" t="s">
        <v>63</v>
      </c>
      <c r="C137" s="18" t="s">
        <v>4</v>
      </c>
      <c r="D137" s="17" t="s">
        <v>230</v>
      </c>
      <c r="E137" s="17" t="s">
        <v>230</v>
      </c>
      <c r="F137" s="17" t="s">
        <v>230</v>
      </c>
      <c r="G137" s="19" t="s">
        <v>97</v>
      </c>
      <c r="H137" s="20" t="s">
        <v>0</v>
      </c>
      <c r="I137" s="34" t="s">
        <v>42</v>
      </c>
      <c r="K137" s="19" t="str">
        <f>_xlfn.XLOOKUP(L137,Values!$A$137:$A$140,Values!$B$137:$B$140)</f>
        <v>26 bis 70</v>
      </c>
      <c r="L137" s="51">
        <v>26</v>
      </c>
      <c r="M137" s="19" t="s">
        <v>5</v>
      </c>
      <c r="O137" s="40">
        <v>10</v>
      </c>
      <c r="P137" s="65">
        <v>0.5</v>
      </c>
      <c r="Q137" s="37">
        <f>+Start!$C$29</f>
        <v>14</v>
      </c>
      <c r="S137" s="24">
        <f>+O137*P137/60*Q137*L137/(1-Start!$C$16)</f>
        <v>35.686274509803916</v>
      </c>
      <c r="T137" s="25">
        <f t="shared" si="46"/>
        <v>1.3725490196078429</v>
      </c>
      <c r="U137" s="25">
        <f>+T137/Start!$C$15</f>
        <v>3.9215686274509796E-2</v>
      </c>
      <c r="V137" s="25">
        <f>+U137/1000*Start!$C$18</f>
        <v>1.9607843137254898E-2</v>
      </c>
      <c r="W137" s="25">
        <f t="shared" si="40"/>
        <v>0</v>
      </c>
      <c r="X137" s="25">
        <f t="shared" si="41"/>
        <v>9.8039215686274481E-2</v>
      </c>
      <c r="Y137" s="25" t="str">
        <f>IF(I137="Strom",T137/Q137/(Start!$C$15),"")</f>
        <v/>
      </c>
      <c r="Z137" s="25" t="str">
        <f t="shared" si="38"/>
        <v/>
      </c>
    </row>
    <row r="138" spans="1:26" ht="15" customHeight="1">
      <c r="A138" s="17">
        <v>137</v>
      </c>
      <c r="B138" s="18" t="s">
        <v>63</v>
      </c>
      <c r="C138" s="18" t="s">
        <v>4</v>
      </c>
      <c r="D138" s="17" t="s">
        <v>230</v>
      </c>
      <c r="E138" s="17" t="s">
        <v>230</v>
      </c>
      <c r="F138" s="17" t="s">
        <v>230</v>
      </c>
      <c r="G138" s="19" t="s">
        <v>97</v>
      </c>
      <c r="H138" s="18" t="s">
        <v>117</v>
      </c>
      <c r="I138" s="18" t="s">
        <v>117</v>
      </c>
      <c r="J138" s="19" t="s">
        <v>116</v>
      </c>
      <c r="K138" s="19" t="str">
        <f>_xlfn.XLOOKUP(L138,Values!$A$137:$A$140,Values!$B$137:$B$140)</f>
        <v>26 bis 70</v>
      </c>
      <c r="L138" s="51">
        <v>26</v>
      </c>
      <c r="M138" s="18" t="s">
        <v>10</v>
      </c>
      <c r="O138" s="35"/>
      <c r="P138" s="66"/>
      <c r="Q138" s="43">
        <f>+Start!$C$30</f>
        <v>0.28999999999999998</v>
      </c>
      <c r="S138" s="24">
        <f>(+S136+S137)*Q138</f>
        <v>41.396078431372544</v>
      </c>
      <c r="T138" s="25">
        <f t="shared" si="46"/>
        <v>1.5921568627450979</v>
      </c>
      <c r="U138" s="25">
        <f>+T138/Start!$C$15</f>
        <v>4.5490196078431369E-2</v>
      </c>
      <c r="V138" s="25">
        <f>+U138/1000*Start!$C$18</f>
        <v>2.2745098039215685E-2</v>
      </c>
      <c r="W138" s="25">
        <f t="shared" si="40"/>
        <v>0</v>
      </c>
      <c r="X138" s="25" t="str">
        <f t="shared" si="41"/>
        <v/>
      </c>
      <c r="Y138" s="25" t="str">
        <f>IF(I138="Strom",T138/Q138/(Start!$C$15),"")</f>
        <v/>
      </c>
      <c r="Z138" s="25" t="str">
        <f t="shared" si="38"/>
        <v/>
      </c>
    </row>
    <row r="139" spans="1:26" ht="15" customHeight="1">
      <c r="A139" s="17">
        <v>138</v>
      </c>
      <c r="B139" s="18" t="s">
        <v>63</v>
      </c>
      <c r="C139" s="18" t="s">
        <v>4</v>
      </c>
      <c r="D139" s="17" t="s">
        <v>230</v>
      </c>
      <c r="E139" s="17" t="s">
        <v>230</v>
      </c>
      <c r="F139" s="17" t="s">
        <v>230</v>
      </c>
      <c r="G139" s="19" t="s">
        <v>97</v>
      </c>
      <c r="H139" s="20" t="s">
        <v>48</v>
      </c>
      <c r="I139" s="18" t="s">
        <v>17</v>
      </c>
      <c r="J139" s="19" t="s">
        <v>67</v>
      </c>
      <c r="K139" s="19" t="str">
        <f>_xlfn.XLOOKUP(L139,Values!$A$137:$A$140,Values!$B$137:$B$140)</f>
        <v>26 bis 70</v>
      </c>
      <c r="L139" s="51">
        <v>26</v>
      </c>
      <c r="M139" s="18" t="s">
        <v>10</v>
      </c>
      <c r="N139" s="48"/>
      <c r="O139" s="49">
        <f>SUM(R131:R137)/2</f>
        <v>400</v>
      </c>
      <c r="P139" s="18"/>
      <c r="Q139" s="50">
        <v>0.03</v>
      </c>
      <c r="S139" s="24">
        <f>+O139*Q139</f>
        <v>12</v>
      </c>
      <c r="T139" s="25">
        <f t="shared" si="46"/>
        <v>0.46153846153846156</v>
      </c>
      <c r="U139" s="25">
        <f>+T139/Start!$C$15</f>
        <v>1.3186813186813187E-2</v>
      </c>
      <c r="V139" s="25">
        <f>+U139/1000*Start!$C$18</f>
        <v>6.5934065934065934E-3</v>
      </c>
      <c r="W139" s="25">
        <f t="shared" si="40"/>
        <v>0</v>
      </c>
      <c r="X139" s="25" t="str">
        <f t="shared" si="41"/>
        <v/>
      </c>
      <c r="Y139" s="25" t="str">
        <f>IF(I139="Strom",T139/Q139/(Start!$C$15),"")</f>
        <v/>
      </c>
      <c r="Z139" s="25" t="str">
        <f t="shared" si="38"/>
        <v/>
      </c>
    </row>
    <row r="140" spans="1:26" ht="15" customHeight="1">
      <c r="A140" s="17">
        <v>139</v>
      </c>
      <c r="B140" s="18" t="s">
        <v>63</v>
      </c>
      <c r="C140" s="18" t="s">
        <v>4</v>
      </c>
      <c r="D140" s="17" t="s">
        <v>230</v>
      </c>
      <c r="E140" s="17" t="s">
        <v>230</v>
      </c>
      <c r="F140" s="17" t="s">
        <v>230</v>
      </c>
      <c r="G140" s="19" t="s">
        <v>97</v>
      </c>
      <c r="H140" s="20" t="s">
        <v>3</v>
      </c>
      <c r="I140" s="18" t="s">
        <v>40</v>
      </c>
      <c r="K140" s="19" t="str">
        <f>_xlfn.XLOOKUP(L140,Values!$A$137:$A$140,Values!$B$137:$B$140)</f>
        <v>71 bis 149</v>
      </c>
      <c r="L140" s="52">
        <v>71</v>
      </c>
      <c r="M140" s="19" t="s">
        <v>10</v>
      </c>
      <c r="N140" s="22">
        <v>15</v>
      </c>
      <c r="Q140" s="58">
        <f>2635+100</f>
        <v>2735</v>
      </c>
      <c r="R140" s="39">
        <f>+Q140</f>
        <v>2735</v>
      </c>
      <c r="S140" s="24">
        <f>+R140/N140</f>
        <v>182.33333333333334</v>
      </c>
      <c r="T140" s="25">
        <f>+S140/L140</f>
        <v>2.568075117370892</v>
      </c>
      <c r="U140" s="25">
        <f>+T140/Start!$C$15</f>
        <v>7.3373574782025483E-2</v>
      </c>
      <c r="V140" s="25">
        <f>+U140/1000*Start!$C$18</f>
        <v>3.6686787391012741E-2</v>
      </c>
      <c r="W140" s="25">
        <f t="shared" si="40"/>
        <v>38.521126760563384</v>
      </c>
      <c r="X140" s="25" t="str">
        <f t="shared" si="41"/>
        <v/>
      </c>
      <c r="Y140" s="25" t="str">
        <f>IF(I140="Strom",T140/Q140/(Start!$C$15),"")</f>
        <v/>
      </c>
      <c r="Z140" s="25" t="str">
        <f t="shared" si="38"/>
        <v/>
      </c>
    </row>
    <row r="141" spans="1:26" ht="15" customHeight="1">
      <c r="A141" s="17">
        <v>140</v>
      </c>
      <c r="B141" s="18" t="s">
        <v>63</v>
      </c>
      <c r="C141" s="18" t="s">
        <v>4</v>
      </c>
      <c r="D141" s="17" t="s">
        <v>230</v>
      </c>
      <c r="E141" s="17" t="s">
        <v>230</v>
      </c>
      <c r="F141" s="17" t="s">
        <v>230</v>
      </c>
      <c r="G141" s="19" t="s">
        <v>84</v>
      </c>
      <c r="H141" s="20" t="s">
        <v>86</v>
      </c>
      <c r="I141" s="18" t="s">
        <v>1</v>
      </c>
      <c r="J141" s="19" t="s">
        <v>39</v>
      </c>
      <c r="K141" s="19" t="str">
        <f>_xlfn.XLOOKUP(L141,Values!$A$137:$A$140,Values!$B$137:$B$140)</f>
        <v>71 bis 149</v>
      </c>
      <c r="L141" s="52">
        <v>71</v>
      </c>
      <c r="M141" s="19" t="s">
        <v>5</v>
      </c>
      <c r="O141" s="59">
        <v>1</v>
      </c>
      <c r="P141" s="32"/>
      <c r="Q141" s="33">
        <f>+Q123*0.93</f>
        <v>13.020000000000001</v>
      </c>
      <c r="S141" s="24">
        <f>+(O141*Q141*L141/(1-Start!$C$16))</f>
        <v>1087.5529411764708</v>
      </c>
      <c r="T141" s="25">
        <f t="shared" ref="T141:T148" si="49">+S141/L141</f>
        <v>15.317647058823532</v>
      </c>
      <c r="U141" s="25">
        <f>+T141/Start!$C$15</f>
        <v>0.4376470588235295</v>
      </c>
      <c r="V141" s="25">
        <f>+U141/1000*Start!$C$18</f>
        <v>0.21882352941176475</v>
      </c>
      <c r="W141" s="25">
        <f t="shared" si="40"/>
        <v>0</v>
      </c>
      <c r="X141" s="25" t="str">
        <f t="shared" si="41"/>
        <v/>
      </c>
      <c r="Y141" s="25" t="str">
        <f>IF(I141="Strom",T141/Q141/(Start!$C$15),"")</f>
        <v/>
      </c>
      <c r="Z141" s="25" t="str">
        <f t="shared" si="38"/>
        <v/>
      </c>
    </row>
    <row r="142" spans="1:26" ht="15" customHeight="1">
      <c r="A142" s="17">
        <v>141</v>
      </c>
      <c r="B142" s="18" t="s">
        <v>63</v>
      </c>
      <c r="C142" s="18" t="s">
        <v>4</v>
      </c>
      <c r="D142" s="17" t="s">
        <v>230</v>
      </c>
      <c r="E142" s="17" t="s">
        <v>230</v>
      </c>
      <c r="F142" s="17" t="s">
        <v>230</v>
      </c>
      <c r="G142" s="19" t="s">
        <v>84</v>
      </c>
      <c r="H142" s="20" t="s">
        <v>86</v>
      </c>
      <c r="I142" s="20" t="s">
        <v>145</v>
      </c>
      <c r="J142" s="20" t="s">
        <v>146</v>
      </c>
      <c r="K142" s="19" t="str">
        <f>_xlfn.XLOOKUP(L142,Values!$A$137:$A$140,Values!$B$137:$B$140)</f>
        <v>71 bis 149</v>
      </c>
      <c r="L142" s="52">
        <v>71</v>
      </c>
      <c r="M142" s="19" t="s">
        <v>5</v>
      </c>
      <c r="N142" s="61">
        <v>1</v>
      </c>
      <c r="O142" s="62">
        <f>10*0.1</f>
        <v>1</v>
      </c>
      <c r="P142" s="32"/>
      <c r="Q142" s="63">
        <v>0.4</v>
      </c>
      <c r="S142" s="24">
        <f>+(O142*Q142)*L142</f>
        <v>28.400000000000002</v>
      </c>
      <c r="T142" s="25">
        <f t="shared" si="49"/>
        <v>0.4</v>
      </c>
      <c r="U142" s="25">
        <f>+T142/Start!$C$15</f>
        <v>1.1428571428571429E-2</v>
      </c>
      <c r="V142" s="25">
        <f>+U142/1000*Start!$C$18</f>
        <v>5.7142857142857143E-3</v>
      </c>
      <c r="W142" s="25">
        <f t="shared" si="40"/>
        <v>0</v>
      </c>
      <c r="X142" s="25" t="str">
        <f t="shared" si="41"/>
        <v/>
      </c>
      <c r="Y142" s="25">
        <f>IF(I142="Strom",T142/Q142/(Start!$C$15),"")</f>
        <v>2.8571428571428571E-2</v>
      </c>
      <c r="Z142" s="25" t="str">
        <f t="shared" si="38"/>
        <v/>
      </c>
    </row>
    <row r="143" spans="1:26" ht="15" customHeight="1">
      <c r="A143" s="17">
        <v>142</v>
      </c>
      <c r="B143" s="18" t="s">
        <v>63</v>
      </c>
      <c r="C143" s="18" t="s">
        <v>4</v>
      </c>
      <c r="D143" s="17" t="s">
        <v>230</v>
      </c>
      <c r="E143" s="17" t="s">
        <v>230</v>
      </c>
      <c r="F143" s="17" t="s">
        <v>230</v>
      </c>
      <c r="G143" s="19" t="s">
        <v>84</v>
      </c>
      <c r="H143" s="20" t="s">
        <v>86</v>
      </c>
      <c r="I143" s="18" t="s">
        <v>182</v>
      </c>
      <c r="J143" s="20" t="s">
        <v>183</v>
      </c>
      <c r="K143" s="19" t="str">
        <f>_xlfn.XLOOKUP(L143,Values!$A$137:$A$140,Values!$B$137:$B$140)</f>
        <v>71 bis 149</v>
      </c>
      <c r="L143" s="52">
        <v>71</v>
      </c>
      <c r="M143" s="19" t="s">
        <v>10</v>
      </c>
      <c r="N143" s="22">
        <v>10</v>
      </c>
      <c r="Q143" s="23">
        <v>200</v>
      </c>
      <c r="R143" s="39"/>
      <c r="S143" s="24">
        <f>+Q143/N143</f>
        <v>20</v>
      </c>
      <c r="T143" s="25">
        <f t="shared" si="49"/>
        <v>0.28169014084507044</v>
      </c>
      <c r="U143" s="25">
        <f>+T143/Start!$C$15</f>
        <v>8.0482897384305842E-3</v>
      </c>
      <c r="V143" s="25">
        <f>+U143/1000*Start!$C$18</f>
        <v>4.0241448692152921E-3</v>
      </c>
      <c r="W143" s="25">
        <f t="shared" ref="W143" si="50">+R143/L143</f>
        <v>0</v>
      </c>
      <c r="X143" s="25" t="str">
        <f t="shared" ref="X143" si="51">IF(H143="Arbeit",S143/Q143/L143,"")</f>
        <v/>
      </c>
      <c r="Y143" s="25" t="str">
        <f>IF(I143="Strom",T143/Q143/(Start!$C$15),"")</f>
        <v/>
      </c>
      <c r="Z143" s="25" t="str">
        <f t="shared" si="38"/>
        <v/>
      </c>
    </row>
    <row r="144" spans="1:26" ht="15" customHeight="1">
      <c r="A144" s="17">
        <v>143</v>
      </c>
      <c r="B144" s="18" t="s">
        <v>63</v>
      </c>
      <c r="C144" s="18" t="s">
        <v>4</v>
      </c>
      <c r="D144" s="17" t="s">
        <v>230</v>
      </c>
      <c r="E144" s="17" t="s">
        <v>230</v>
      </c>
      <c r="F144" s="17" t="s">
        <v>230</v>
      </c>
      <c r="G144" s="19" t="s">
        <v>84</v>
      </c>
      <c r="H144" s="20" t="s">
        <v>89</v>
      </c>
      <c r="I144" s="18" t="s">
        <v>161</v>
      </c>
      <c r="K144" s="19" t="str">
        <f>_xlfn.XLOOKUP(L144,Values!$A$137:$A$140,Values!$B$137:$B$140)</f>
        <v>71 bis 149</v>
      </c>
      <c r="L144" s="52">
        <v>71</v>
      </c>
      <c r="M144" s="19" t="s">
        <v>10</v>
      </c>
      <c r="O144" s="67">
        <v>0.5</v>
      </c>
      <c r="Q144" s="55">
        <v>150</v>
      </c>
      <c r="S144" s="42">
        <f>+Q144*O144</f>
        <v>75</v>
      </c>
      <c r="T144" s="25">
        <f t="shared" si="49"/>
        <v>1.056338028169014</v>
      </c>
      <c r="U144" s="25">
        <f>+T144/Start!$C$15</f>
        <v>3.0181086519114685E-2</v>
      </c>
      <c r="V144" s="25">
        <f>+U144/1000*Start!$C$18</f>
        <v>1.5090543259557342E-2</v>
      </c>
      <c r="W144" s="25">
        <f t="shared" si="40"/>
        <v>0</v>
      </c>
      <c r="X144" s="25" t="str">
        <f t="shared" si="41"/>
        <v/>
      </c>
      <c r="Y144" s="25" t="str">
        <f>IF(I144="Strom",T144/Q144/(Start!$C$15),"")</f>
        <v/>
      </c>
      <c r="Z144" s="25" t="str">
        <f t="shared" si="38"/>
        <v/>
      </c>
    </row>
    <row r="145" spans="1:26" ht="15" customHeight="1">
      <c r="A145" s="17">
        <v>144</v>
      </c>
      <c r="B145" s="18" t="s">
        <v>63</v>
      </c>
      <c r="C145" s="18" t="s">
        <v>4</v>
      </c>
      <c r="D145" s="17" t="s">
        <v>230</v>
      </c>
      <c r="E145" s="17" t="s">
        <v>230</v>
      </c>
      <c r="F145" s="17" t="s">
        <v>230</v>
      </c>
      <c r="G145" s="19" t="s">
        <v>97</v>
      </c>
      <c r="H145" s="20" t="s">
        <v>0</v>
      </c>
      <c r="I145" s="34" t="s">
        <v>41</v>
      </c>
      <c r="K145" s="19" t="str">
        <f>_xlfn.XLOOKUP(L145,Values!$A$137:$A$140,Values!$B$137:$B$140)</f>
        <v>71 bis 149</v>
      </c>
      <c r="L145" s="52">
        <v>71</v>
      </c>
      <c r="M145" s="19" t="s">
        <v>5</v>
      </c>
      <c r="O145" s="68">
        <v>0.5</v>
      </c>
      <c r="P145" s="36">
        <v>20</v>
      </c>
      <c r="Q145" s="37">
        <f>+Start!$C$29</f>
        <v>14</v>
      </c>
      <c r="S145" s="24">
        <f>+O145*P145/60*Q145*L145/(1-Start!$C$16)</f>
        <v>194.90196078431373</v>
      </c>
      <c r="T145" s="25">
        <f t="shared" si="49"/>
        <v>2.7450980392156863</v>
      </c>
      <c r="U145" s="25">
        <f>+T145/Start!$C$15</f>
        <v>7.8431372549019607E-2</v>
      </c>
      <c r="V145" s="25">
        <f>+U145/1000*Start!$C$18</f>
        <v>3.9215686274509803E-2</v>
      </c>
      <c r="W145" s="25">
        <f t="shared" si="40"/>
        <v>0</v>
      </c>
      <c r="X145" s="25">
        <f t="shared" si="41"/>
        <v>0.19607843137254902</v>
      </c>
      <c r="Y145" s="25" t="str">
        <f>IF(I145="Strom",T145/Q145/(Start!$C$15),"")</f>
        <v/>
      </c>
      <c r="Z145" s="25" t="str">
        <f t="shared" si="38"/>
        <v/>
      </c>
    </row>
    <row r="146" spans="1:26" ht="15" customHeight="1">
      <c r="A146" s="17">
        <v>145</v>
      </c>
      <c r="B146" s="18" t="s">
        <v>63</v>
      </c>
      <c r="C146" s="18" t="s">
        <v>4</v>
      </c>
      <c r="D146" s="17" t="s">
        <v>230</v>
      </c>
      <c r="E146" s="17" t="s">
        <v>230</v>
      </c>
      <c r="F146" s="17" t="s">
        <v>230</v>
      </c>
      <c r="G146" s="19" t="s">
        <v>97</v>
      </c>
      <c r="H146" s="20" t="s">
        <v>0</v>
      </c>
      <c r="I146" s="34" t="s">
        <v>42</v>
      </c>
      <c r="K146" s="19" t="str">
        <f>_xlfn.XLOOKUP(L146,Values!$A$137:$A$140,Values!$B$137:$B$140)</f>
        <v>71 bis 149</v>
      </c>
      <c r="L146" s="52">
        <v>71</v>
      </c>
      <c r="M146" s="19" t="s">
        <v>5</v>
      </c>
      <c r="O146" s="40">
        <v>10</v>
      </c>
      <c r="P146" s="65">
        <v>0.5</v>
      </c>
      <c r="Q146" s="37">
        <f>+Start!$C$29</f>
        <v>14</v>
      </c>
      <c r="S146" s="24">
        <f>+O146*P146/60*Q146*L146/(1-Start!$C$16)</f>
        <v>97.450980392156865</v>
      </c>
      <c r="T146" s="25">
        <f t="shared" si="49"/>
        <v>1.3725490196078431</v>
      </c>
      <c r="U146" s="25">
        <f>+T146/Start!$C$15</f>
        <v>3.9215686274509803E-2</v>
      </c>
      <c r="V146" s="25">
        <f>+U146/1000*Start!$C$18</f>
        <v>1.9607843137254902E-2</v>
      </c>
      <c r="W146" s="25">
        <f t="shared" si="40"/>
        <v>0</v>
      </c>
      <c r="X146" s="25">
        <f t="shared" si="41"/>
        <v>9.8039215686274508E-2</v>
      </c>
      <c r="Y146" s="25" t="str">
        <f>IF(I146="Strom",T146/Q146/(Start!$C$15),"")</f>
        <v/>
      </c>
      <c r="Z146" s="25" t="str">
        <f t="shared" si="38"/>
        <v/>
      </c>
    </row>
    <row r="147" spans="1:26" ht="15" customHeight="1">
      <c r="A147" s="17">
        <v>146</v>
      </c>
      <c r="B147" s="18" t="s">
        <v>63</v>
      </c>
      <c r="C147" s="18" t="s">
        <v>4</v>
      </c>
      <c r="D147" s="17" t="s">
        <v>230</v>
      </c>
      <c r="E147" s="17" t="s">
        <v>230</v>
      </c>
      <c r="F147" s="17" t="s">
        <v>230</v>
      </c>
      <c r="G147" s="19" t="s">
        <v>97</v>
      </c>
      <c r="H147" s="18" t="s">
        <v>117</v>
      </c>
      <c r="I147" s="18" t="s">
        <v>117</v>
      </c>
      <c r="J147" s="19" t="s">
        <v>116</v>
      </c>
      <c r="K147" s="19" t="str">
        <f>_xlfn.XLOOKUP(L147,Values!$A$137:$A$140,Values!$B$137:$B$140)</f>
        <v>71 bis 149</v>
      </c>
      <c r="L147" s="52">
        <v>71</v>
      </c>
      <c r="M147" s="18" t="s">
        <v>10</v>
      </c>
      <c r="O147" s="35"/>
      <c r="P147" s="66"/>
      <c r="Q147" s="43">
        <f>+Start!$C$30</f>
        <v>0.28999999999999998</v>
      </c>
      <c r="S147" s="24">
        <f>(+S145+S146)*Q147</f>
        <v>84.78235294117647</v>
      </c>
      <c r="T147" s="25">
        <f t="shared" si="49"/>
        <v>1.1941176470588235</v>
      </c>
      <c r="U147" s="25">
        <f>+T147/Start!$C$15</f>
        <v>3.411764705882353E-2</v>
      </c>
      <c r="V147" s="25">
        <f>+U147/1000*Start!$C$18</f>
        <v>1.7058823529411765E-2</v>
      </c>
      <c r="W147" s="25">
        <f t="shared" si="40"/>
        <v>0</v>
      </c>
      <c r="X147" s="25" t="str">
        <f t="shared" si="41"/>
        <v/>
      </c>
      <c r="Y147" s="25" t="str">
        <f>IF(I147="Strom",T147/Q147/(Start!$C$15),"")</f>
        <v/>
      </c>
      <c r="Z147" s="25" t="str">
        <f t="shared" si="38"/>
        <v/>
      </c>
    </row>
    <row r="148" spans="1:26" ht="15" customHeight="1">
      <c r="A148" s="17">
        <v>147</v>
      </c>
      <c r="B148" s="18" t="s">
        <v>63</v>
      </c>
      <c r="C148" s="18" t="s">
        <v>4</v>
      </c>
      <c r="D148" s="17" t="s">
        <v>230</v>
      </c>
      <c r="E148" s="17" t="s">
        <v>230</v>
      </c>
      <c r="F148" s="17" t="s">
        <v>230</v>
      </c>
      <c r="G148" s="19" t="s">
        <v>97</v>
      </c>
      <c r="H148" s="20" t="s">
        <v>48</v>
      </c>
      <c r="I148" s="18" t="s">
        <v>17</v>
      </c>
      <c r="J148" s="19" t="s">
        <v>67</v>
      </c>
      <c r="K148" s="19" t="str">
        <f>_xlfn.XLOOKUP(L148,Values!$A$137:$A$140,Values!$B$137:$B$140)</f>
        <v>71 bis 149</v>
      </c>
      <c r="L148" s="52">
        <v>71</v>
      </c>
      <c r="M148" s="18" t="s">
        <v>10</v>
      </c>
      <c r="N148" s="48"/>
      <c r="O148" s="49">
        <f>SUM(R140:R146)/2</f>
        <v>1367.5</v>
      </c>
      <c r="P148" s="18"/>
      <c r="Q148" s="50">
        <v>0.03</v>
      </c>
      <c r="S148" s="24">
        <f>+O148*Q148</f>
        <v>41.024999999999999</v>
      </c>
      <c r="T148" s="25">
        <f t="shared" si="49"/>
        <v>0.57781690140845066</v>
      </c>
      <c r="U148" s="25">
        <f>+T148/Start!$C$15</f>
        <v>1.6509054325955733E-2</v>
      </c>
      <c r="V148" s="25">
        <f>+U148/1000*Start!$C$18</f>
        <v>8.2545271629778667E-3</v>
      </c>
      <c r="W148" s="25">
        <f t="shared" si="40"/>
        <v>0</v>
      </c>
      <c r="X148" s="25" t="str">
        <f t="shared" si="41"/>
        <v/>
      </c>
      <c r="Y148" s="25" t="str">
        <f>IF(I148="Strom",T148/Q148/(Start!$C$15),"")</f>
        <v/>
      </c>
      <c r="Z148" s="25" t="str">
        <f t="shared" si="38"/>
        <v/>
      </c>
    </row>
    <row r="149" spans="1:26" ht="15" customHeight="1">
      <c r="A149" s="17">
        <v>148</v>
      </c>
      <c r="B149" s="18" t="s">
        <v>63</v>
      </c>
      <c r="C149" s="18" t="s">
        <v>4</v>
      </c>
      <c r="D149" s="17" t="s">
        <v>230</v>
      </c>
      <c r="E149" s="17" t="s">
        <v>230</v>
      </c>
      <c r="F149" s="17" t="s">
        <v>230</v>
      </c>
      <c r="G149" s="19" t="s">
        <v>97</v>
      </c>
      <c r="H149" s="20" t="s">
        <v>3</v>
      </c>
      <c r="I149" s="18" t="s">
        <v>40</v>
      </c>
      <c r="K149" s="19" t="str">
        <f>_xlfn.XLOOKUP(L149,Values!$A$137:$A$140,Values!$B$137:$B$140)</f>
        <v>150 und mehr</v>
      </c>
      <c r="L149" s="53">
        <v>150</v>
      </c>
      <c r="M149" s="19" t="s">
        <v>10</v>
      </c>
      <c r="N149" s="22">
        <v>15</v>
      </c>
      <c r="Q149" s="58">
        <f>2635+100</f>
        <v>2735</v>
      </c>
      <c r="R149" s="39">
        <f>+Q149</f>
        <v>2735</v>
      </c>
      <c r="S149" s="24">
        <f>+R149/N149</f>
        <v>182.33333333333334</v>
      </c>
      <c r="T149" s="25">
        <f>+S149/L149</f>
        <v>1.2155555555555557</v>
      </c>
      <c r="U149" s="25">
        <f>+T149/Start!$C$15</f>
        <v>3.4730158730158736E-2</v>
      </c>
      <c r="V149" s="25">
        <f>+U149/1000*Start!$C$18</f>
        <v>1.7365079365079368E-2</v>
      </c>
      <c r="W149" s="25">
        <f t="shared" si="40"/>
        <v>18.233333333333334</v>
      </c>
      <c r="X149" s="25" t="str">
        <f t="shared" si="41"/>
        <v/>
      </c>
      <c r="Y149" s="25" t="str">
        <f>IF(I149="Strom",T149/Q149/(Start!$C$15),"")</f>
        <v/>
      </c>
      <c r="Z149" s="25" t="str">
        <f t="shared" ref="Z149:Z212" si="52">IF(H149="KFZ",U149/Q149,"")</f>
        <v/>
      </c>
    </row>
    <row r="150" spans="1:26" ht="15" customHeight="1">
      <c r="A150" s="17">
        <v>149</v>
      </c>
      <c r="B150" s="18" t="s">
        <v>63</v>
      </c>
      <c r="C150" s="18" t="s">
        <v>4</v>
      </c>
      <c r="D150" s="17" t="s">
        <v>230</v>
      </c>
      <c r="E150" s="17" t="s">
        <v>230</v>
      </c>
      <c r="F150" s="17" t="s">
        <v>230</v>
      </c>
      <c r="G150" s="19" t="s">
        <v>84</v>
      </c>
      <c r="H150" s="20" t="s">
        <v>86</v>
      </c>
      <c r="I150" s="18" t="s">
        <v>1</v>
      </c>
      <c r="J150" s="19" t="s">
        <v>39</v>
      </c>
      <c r="K150" s="19" t="str">
        <f>_xlfn.XLOOKUP(L150,Values!$A$137:$A$140,Values!$B$137:$B$140)</f>
        <v>150 und mehr</v>
      </c>
      <c r="L150" s="53">
        <v>150</v>
      </c>
      <c r="M150" s="19" t="s">
        <v>5</v>
      </c>
      <c r="O150" s="59">
        <v>1</v>
      </c>
      <c r="P150" s="32"/>
      <c r="Q150" s="33">
        <f>+Q123*0.9</f>
        <v>12.6</v>
      </c>
      <c r="S150" s="24">
        <f>+(O150*Q150*L150/(1-Start!$C$16))</f>
        <v>2223.5294117647059</v>
      </c>
      <c r="T150" s="25">
        <f t="shared" ref="T150:T157" si="53">+S150/L150</f>
        <v>14.823529411764707</v>
      </c>
      <c r="U150" s="25">
        <f>+T150/Start!$C$15</f>
        <v>0.42352941176470588</v>
      </c>
      <c r="V150" s="25">
        <f>+U150/1000*Start!$C$18</f>
        <v>0.21176470588235294</v>
      </c>
      <c r="W150" s="25">
        <f t="shared" si="40"/>
        <v>0</v>
      </c>
      <c r="X150" s="25" t="str">
        <f t="shared" si="41"/>
        <v/>
      </c>
      <c r="Y150" s="25" t="str">
        <f>IF(I150="Strom",T150/Q150/(Start!$C$15),"")</f>
        <v/>
      </c>
      <c r="Z150" s="25" t="str">
        <f t="shared" si="52"/>
        <v/>
      </c>
    </row>
    <row r="151" spans="1:26" ht="15" customHeight="1">
      <c r="A151" s="17">
        <v>150</v>
      </c>
      <c r="B151" s="18" t="s">
        <v>63</v>
      </c>
      <c r="C151" s="18" t="s">
        <v>4</v>
      </c>
      <c r="D151" s="17" t="s">
        <v>230</v>
      </c>
      <c r="E151" s="17" t="s">
        <v>230</v>
      </c>
      <c r="F151" s="17" t="s">
        <v>230</v>
      </c>
      <c r="G151" s="19" t="s">
        <v>84</v>
      </c>
      <c r="H151" s="20" t="s">
        <v>86</v>
      </c>
      <c r="I151" s="20" t="s">
        <v>145</v>
      </c>
      <c r="J151" s="20" t="s">
        <v>146</v>
      </c>
      <c r="K151" s="19" t="str">
        <f>_xlfn.XLOOKUP(L151,Values!$A$137:$A$140,Values!$B$137:$B$140)</f>
        <v>150 und mehr</v>
      </c>
      <c r="L151" s="53">
        <v>150</v>
      </c>
      <c r="M151" s="19" t="s">
        <v>5</v>
      </c>
      <c r="N151" s="61">
        <v>1</v>
      </c>
      <c r="O151" s="62">
        <f>10*0.1</f>
        <v>1</v>
      </c>
      <c r="P151" s="32"/>
      <c r="Q151" s="63">
        <v>0.4</v>
      </c>
      <c r="S151" s="24">
        <f>+(O151*Q151)*L151</f>
        <v>60</v>
      </c>
      <c r="T151" s="25">
        <f t="shared" si="53"/>
        <v>0.4</v>
      </c>
      <c r="U151" s="25">
        <f>+T151/Start!$C$15</f>
        <v>1.1428571428571429E-2</v>
      </c>
      <c r="V151" s="25">
        <f>+U151/1000*Start!$C$18</f>
        <v>5.7142857142857143E-3</v>
      </c>
      <c r="W151" s="25">
        <f t="shared" si="40"/>
        <v>0</v>
      </c>
      <c r="X151" s="25" t="str">
        <f t="shared" si="41"/>
        <v/>
      </c>
      <c r="Y151" s="25">
        <f>IF(I151="Strom",T151/Q151/(Start!$C$15),"")</f>
        <v>2.8571428571428571E-2</v>
      </c>
      <c r="Z151" s="25" t="str">
        <f t="shared" si="52"/>
        <v/>
      </c>
    </row>
    <row r="152" spans="1:26" ht="15" customHeight="1">
      <c r="A152" s="17">
        <v>151</v>
      </c>
      <c r="B152" s="18" t="s">
        <v>63</v>
      </c>
      <c r="C152" s="18" t="s">
        <v>4</v>
      </c>
      <c r="D152" s="17" t="s">
        <v>230</v>
      </c>
      <c r="E152" s="17" t="s">
        <v>230</v>
      </c>
      <c r="F152" s="17" t="s">
        <v>230</v>
      </c>
      <c r="G152" s="19" t="s">
        <v>84</v>
      </c>
      <c r="H152" s="20" t="s">
        <v>86</v>
      </c>
      <c r="I152" s="18" t="s">
        <v>182</v>
      </c>
      <c r="J152" s="20" t="s">
        <v>183</v>
      </c>
      <c r="K152" s="19" t="str">
        <f>_xlfn.XLOOKUP(L152,Values!$A$137:$A$140,Values!$B$137:$B$140)</f>
        <v>150 und mehr</v>
      </c>
      <c r="L152" s="53">
        <v>150</v>
      </c>
      <c r="M152" s="19" t="s">
        <v>10</v>
      </c>
      <c r="N152" s="22">
        <v>10</v>
      </c>
      <c r="Q152" s="23">
        <v>400</v>
      </c>
      <c r="R152" s="39"/>
      <c r="S152" s="24">
        <f>+Q152/N152</f>
        <v>40</v>
      </c>
      <c r="T152" s="25">
        <f t="shared" si="53"/>
        <v>0.26666666666666666</v>
      </c>
      <c r="U152" s="25">
        <f>+T152/Start!$C$15</f>
        <v>7.619047619047619E-3</v>
      </c>
      <c r="V152" s="25">
        <f>+U152/1000*Start!$C$18</f>
        <v>3.8095238095238095E-3</v>
      </c>
      <c r="W152" s="25">
        <f t="shared" ref="W152" si="54">+R152/L152</f>
        <v>0</v>
      </c>
      <c r="X152" s="25" t="str">
        <f t="shared" ref="X152" si="55">IF(H152="Arbeit",S152/Q152/L152,"")</f>
        <v/>
      </c>
      <c r="Y152" s="25" t="str">
        <f>IF(I152="Strom",T152/Q152/(Start!$C$15),"")</f>
        <v/>
      </c>
      <c r="Z152" s="25" t="str">
        <f t="shared" si="52"/>
        <v/>
      </c>
    </row>
    <row r="153" spans="1:26" ht="15" customHeight="1">
      <c r="A153" s="17">
        <v>152</v>
      </c>
      <c r="B153" s="18" t="s">
        <v>63</v>
      </c>
      <c r="C153" s="18" t="s">
        <v>4</v>
      </c>
      <c r="D153" s="17" t="s">
        <v>230</v>
      </c>
      <c r="E153" s="17" t="s">
        <v>230</v>
      </c>
      <c r="F153" s="17" t="s">
        <v>230</v>
      </c>
      <c r="G153" s="19" t="s">
        <v>84</v>
      </c>
      <c r="H153" s="20" t="s">
        <v>89</v>
      </c>
      <c r="I153" s="18" t="s">
        <v>161</v>
      </c>
      <c r="K153" s="19" t="str">
        <f>_xlfn.XLOOKUP(L153,Values!$A$137:$A$140,Values!$B$137:$B$140)</f>
        <v>150 und mehr</v>
      </c>
      <c r="L153" s="53">
        <v>150</v>
      </c>
      <c r="M153" s="19" t="s">
        <v>10</v>
      </c>
      <c r="O153" s="64">
        <v>1</v>
      </c>
      <c r="Q153" s="55">
        <v>150</v>
      </c>
      <c r="S153" s="42">
        <f>+Q153*O153</f>
        <v>150</v>
      </c>
      <c r="T153" s="25">
        <f t="shared" si="53"/>
        <v>1</v>
      </c>
      <c r="U153" s="25">
        <f>+T153/Start!$C$15</f>
        <v>2.8571428571428571E-2</v>
      </c>
      <c r="V153" s="25">
        <f>+U153/1000*Start!$C$18</f>
        <v>1.4285714285714285E-2</v>
      </c>
      <c r="W153" s="25">
        <f t="shared" si="40"/>
        <v>0</v>
      </c>
      <c r="X153" s="25" t="str">
        <f t="shared" si="41"/>
        <v/>
      </c>
      <c r="Y153" s="25" t="str">
        <f>IF(I153="Strom",T153/Q153/(Start!$C$15),"")</f>
        <v/>
      </c>
      <c r="Z153" s="25" t="str">
        <f t="shared" si="52"/>
        <v/>
      </c>
    </row>
    <row r="154" spans="1:26" ht="15" customHeight="1">
      <c r="A154" s="17">
        <v>153</v>
      </c>
      <c r="B154" s="18" t="s">
        <v>63</v>
      </c>
      <c r="C154" s="18" t="s">
        <v>4</v>
      </c>
      <c r="D154" s="17" t="s">
        <v>230</v>
      </c>
      <c r="E154" s="17" t="s">
        <v>230</v>
      </c>
      <c r="F154" s="17" t="s">
        <v>230</v>
      </c>
      <c r="G154" s="19" t="s">
        <v>97</v>
      </c>
      <c r="H154" s="20" t="s">
        <v>0</v>
      </c>
      <c r="I154" s="34" t="s">
        <v>41</v>
      </c>
      <c r="K154" s="19" t="str">
        <f>_xlfn.XLOOKUP(L154,Values!$A$137:$A$140,Values!$B$137:$B$140)</f>
        <v>150 und mehr</v>
      </c>
      <c r="L154" s="53">
        <v>150</v>
      </c>
      <c r="M154" s="19" t="s">
        <v>5</v>
      </c>
      <c r="O154" s="68">
        <v>0.5</v>
      </c>
      <c r="P154" s="36">
        <v>20</v>
      </c>
      <c r="Q154" s="37">
        <f>+Start!$C$29</f>
        <v>14</v>
      </c>
      <c r="S154" s="24">
        <f>+O154*P154/60*Q154*L154/(1-Start!$C$16)</f>
        <v>411.76470588235287</v>
      </c>
      <c r="T154" s="25">
        <f t="shared" si="53"/>
        <v>2.7450980392156858</v>
      </c>
      <c r="U154" s="25">
        <f>+T154/Start!$C$15</f>
        <v>7.8431372549019593E-2</v>
      </c>
      <c r="V154" s="25">
        <f>+U154/1000*Start!$C$18</f>
        <v>3.9215686274509796E-2</v>
      </c>
      <c r="W154" s="25">
        <f t="shared" si="40"/>
        <v>0</v>
      </c>
      <c r="X154" s="25">
        <f t="shared" si="41"/>
        <v>0.19607843137254899</v>
      </c>
      <c r="Y154" s="25" t="str">
        <f>IF(I154="Strom",T154/Q154/(Start!$C$15),"")</f>
        <v/>
      </c>
      <c r="Z154" s="25" t="str">
        <f t="shared" si="52"/>
        <v/>
      </c>
    </row>
    <row r="155" spans="1:26" ht="15" customHeight="1">
      <c r="A155" s="17">
        <v>154</v>
      </c>
      <c r="B155" s="18" t="s">
        <v>63</v>
      </c>
      <c r="C155" s="18" t="s">
        <v>4</v>
      </c>
      <c r="D155" s="17" t="s">
        <v>230</v>
      </c>
      <c r="E155" s="17" t="s">
        <v>230</v>
      </c>
      <c r="F155" s="17" t="s">
        <v>230</v>
      </c>
      <c r="G155" s="19" t="s">
        <v>97</v>
      </c>
      <c r="H155" s="20" t="s">
        <v>0</v>
      </c>
      <c r="I155" s="34" t="s">
        <v>42</v>
      </c>
      <c r="K155" s="19" t="str">
        <f>_xlfn.XLOOKUP(L155,Values!$A$137:$A$140,Values!$B$137:$B$140)</f>
        <v>150 und mehr</v>
      </c>
      <c r="L155" s="53">
        <v>150</v>
      </c>
      <c r="M155" s="19" t="s">
        <v>5</v>
      </c>
      <c r="O155" s="40">
        <v>10</v>
      </c>
      <c r="P155" s="65">
        <v>0.5</v>
      </c>
      <c r="Q155" s="37">
        <f>+Start!$C$29</f>
        <v>14</v>
      </c>
      <c r="S155" s="24">
        <f>+O155*P155/60*Q155*L155/(1-Start!$C$16)</f>
        <v>205.88235294117644</v>
      </c>
      <c r="T155" s="25">
        <f t="shared" si="53"/>
        <v>1.3725490196078429</v>
      </c>
      <c r="U155" s="25">
        <f>+T155/Start!$C$15</f>
        <v>3.9215686274509796E-2</v>
      </c>
      <c r="V155" s="25">
        <f>+U155/1000*Start!$C$18</f>
        <v>1.9607843137254898E-2</v>
      </c>
      <c r="W155" s="25">
        <f t="shared" si="40"/>
        <v>0</v>
      </c>
      <c r="X155" s="25">
        <f t="shared" si="41"/>
        <v>9.8039215686274495E-2</v>
      </c>
      <c r="Y155" s="25" t="str">
        <f>IF(I155="Strom",T155/Q155/(Start!$C$15),"")</f>
        <v/>
      </c>
      <c r="Z155" s="25" t="str">
        <f t="shared" si="52"/>
        <v/>
      </c>
    </row>
    <row r="156" spans="1:26" ht="15" customHeight="1">
      <c r="A156" s="17">
        <v>155</v>
      </c>
      <c r="B156" s="18" t="s">
        <v>63</v>
      </c>
      <c r="C156" s="18" t="s">
        <v>4</v>
      </c>
      <c r="D156" s="17" t="s">
        <v>230</v>
      </c>
      <c r="E156" s="17" t="s">
        <v>230</v>
      </c>
      <c r="F156" s="17" t="s">
        <v>230</v>
      </c>
      <c r="G156" s="19" t="s">
        <v>97</v>
      </c>
      <c r="H156" s="18" t="s">
        <v>117</v>
      </c>
      <c r="I156" s="18" t="s">
        <v>117</v>
      </c>
      <c r="J156" s="19" t="s">
        <v>116</v>
      </c>
      <c r="K156" s="19" t="str">
        <f>_xlfn.XLOOKUP(L156,Values!$A$137:$A$140,Values!$B$137:$B$140)</f>
        <v>150 und mehr</v>
      </c>
      <c r="L156" s="53">
        <v>150</v>
      </c>
      <c r="M156" s="18" t="s">
        <v>10</v>
      </c>
      <c r="O156" s="35"/>
      <c r="P156" s="66"/>
      <c r="Q156" s="43">
        <f>+Start!$C$30</f>
        <v>0.28999999999999998</v>
      </c>
      <c r="S156" s="24">
        <f>(+S154+S155)*Q156</f>
        <v>179.11764705882348</v>
      </c>
      <c r="T156" s="25">
        <f t="shared" si="53"/>
        <v>1.1941176470588233</v>
      </c>
      <c r="U156" s="25">
        <f>+T156/Start!$C$15</f>
        <v>3.4117647058823523E-2</v>
      </c>
      <c r="V156" s="25">
        <f>+U156/1000*Start!$C$18</f>
        <v>1.7058823529411762E-2</v>
      </c>
      <c r="W156" s="25">
        <f t="shared" si="40"/>
        <v>0</v>
      </c>
      <c r="X156" s="25" t="str">
        <f t="shared" si="41"/>
        <v/>
      </c>
      <c r="Y156" s="25" t="str">
        <f>IF(I156="Strom",T156/Q156/(Start!$C$15),"")</f>
        <v/>
      </c>
      <c r="Z156" s="25" t="str">
        <f t="shared" si="52"/>
        <v/>
      </c>
    </row>
    <row r="157" spans="1:26" ht="15" customHeight="1">
      <c r="A157" s="17">
        <v>156</v>
      </c>
      <c r="B157" s="18" t="s">
        <v>63</v>
      </c>
      <c r="C157" s="18" t="s">
        <v>4</v>
      </c>
      <c r="D157" s="17" t="s">
        <v>230</v>
      </c>
      <c r="E157" s="17" t="s">
        <v>230</v>
      </c>
      <c r="F157" s="17" t="s">
        <v>230</v>
      </c>
      <c r="G157" s="19" t="s">
        <v>97</v>
      </c>
      <c r="H157" s="20" t="s">
        <v>48</v>
      </c>
      <c r="I157" s="18" t="s">
        <v>17</v>
      </c>
      <c r="J157" s="19" t="s">
        <v>67</v>
      </c>
      <c r="K157" s="19" t="str">
        <f>_xlfn.XLOOKUP(L157,Values!$A$137:$A$140,Values!$B$137:$B$140)</f>
        <v>150 und mehr</v>
      </c>
      <c r="L157" s="53">
        <v>150</v>
      </c>
      <c r="M157" s="18" t="s">
        <v>10</v>
      </c>
      <c r="N157" s="48"/>
      <c r="O157" s="49">
        <f>SUM(R149:R155)/2</f>
        <v>1367.5</v>
      </c>
      <c r="P157" s="18"/>
      <c r="Q157" s="50">
        <v>0.03</v>
      </c>
      <c r="S157" s="24">
        <f>+O157*Q157</f>
        <v>41.024999999999999</v>
      </c>
      <c r="T157" s="25">
        <f t="shared" si="53"/>
        <v>0.27349999999999997</v>
      </c>
      <c r="U157" s="25">
        <f>+T157/Start!$C$15</f>
        <v>7.8142857142857128E-3</v>
      </c>
      <c r="V157" s="25">
        <f>+U157/1000*Start!$C$18</f>
        <v>3.9071428571428564E-3</v>
      </c>
      <c r="W157" s="25">
        <f t="shared" si="40"/>
        <v>0</v>
      </c>
      <c r="X157" s="25" t="str">
        <f t="shared" si="41"/>
        <v/>
      </c>
      <c r="Y157" s="25" t="str">
        <f>IF(I157="Strom",T157/Q157/(Start!$C$15),"")</f>
        <v/>
      </c>
      <c r="Z157" s="25" t="str">
        <f t="shared" si="52"/>
        <v/>
      </c>
    </row>
    <row r="158" spans="1:26" ht="15" customHeight="1">
      <c r="A158" s="17">
        <v>157</v>
      </c>
      <c r="B158" s="18" t="s">
        <v>63</v>
      </c>
      <c r="C158" s="18" t="s">
        <v>23</v>
      </c>
      <c r="D158" s="17" t="s">
        <v>230</v>
      </c>
      <c r="E158" s="17" t="s">
        <v>230</v>
      </c>
      <c r="F158" s="17" t="s">
        <v>230</v>
      </c>
      <c r="G158" s="19" t="s">
        <v>97</v>
      </c>
      <c r="H158" s="20" t="s">
        <v>16</v>
      </c>
      <c r="I158" s="18" t="s">
        <v>16</v>
      </c>
      <c r="J158" s="19" t="s">
        <v>21</v>
      </c>
      <c r="K158" s="19" t="str">
        <f>_xlfn.XLOOKUP(L158,Values!$A$137:$A$140,Values!$B$137:$B$140)</f>
        <v>1 bis 25</v>
      </c>
      <c r="L158" s="21">
        <v>6</v>
      </c>
      <c r="M158" s="19" t="s">
        <v>10</v>
      </c>
      <c r="N158" s="44">
        <v>1</v>
      </c>
      <c r="O158" s="45">
        <f>1.2*6/2</f>
        <v>3.5999999999999996</v>
      </c>
      <c r="Q158" s="46">
        <f>+Start!$C$31*1.5</f>
        <v>6.9150000000000009</v>
      </c>
      <c r="S158" s="24">
        <f>+O158*Q158*12</f>
        <v>298.72800000000001</v>
      </c>
      <c r="T158" s="25">
        <f t="shared" ref="T158:T209" si="56">+S158/L158</f>
        <v>49.788000000000004</v>
      </c>
      <c r="U158" s="25">
        <f>+T158/Start!$C$15</f>
        <v>1.4225142857142858</v>
      </c>
      <c r="V158" s="25">
        <f>+U158/1000*Start!$C$18</f>
        <v>0.71125714285714292</v>
      </c>
      <c r="W158" s="25">
        <f t="shared" si="40"/>
        <v>0</v>
      </c>
      <c r="X158" s="25" t="str">
        <f t="shared" si="41"/>
        <v/>
      </c>
      <c r="Y158" s="25" t="str">
        <f>IF(I158="Strom",T158/Q158/(Start!$C$15),"")</f>
        <v/>
      </c>
      <c r="Z158" s="25" t="str">
        <f t="shared" si="52"/>
        <v/>
      </c>
    </row>
    <row r="159" spans="1:26" ht="15" customHeight="1">
      <c r="A159" s="17">
        <v>158</v>
      </c>
      <c r="B159" s="18" t="s">
        <v>63</v>
      </c>
      <c r="C159" s="18" t="s">
        <v>23</v>
      </c>
      <c r="D159" s="17" t="s">
        <v>230</v>
      </c>
      <c r="E159" s="17" t="s">
        <v>230</v>
      </c>
      <c r="F159" s="17" t="s">
        <v>230</v>
      </c>
      <c r="G159" s="19" t="s">
        <v>97</v>
      </c>
      <c r="H159" s="20" t="s">
        <v>16</v>
      </c>
      <c r="I159" s="18" t="s">
        <v>101</v>
      </c>
      <c r="J159" s="19" t="s">
        <v>21</v>
      </c>
      <c r="K159" s="19" t="str">
        <f>_xlfn.XLOOKUP(L159,Values!$A$137:$A$140,Values!$B$137:$B$140)</f>
        <v>1 bis 25</v>
      </c>
      <c r="L159" s="21">
        <v>6</v>
      </c>
      <c r="M159" s="19" t="s">
        <v>10</v>
      </c>
      <c r="N159" s="44">
        <v>1</v>
      </c>
      <c r="O159" s="47">
        <f>+O158</f>
        <v>3.5999999999999996</v>
      </c>
      <c r="Q159" s="46">
        <f>+Q158*0.02</f>
        <v>0.13830000000000003</v>
      </c>
      <c r="S159" s="24">
        <f>+O159*Q159*12</f>
        <v>5.9745600000000012</v>
      </c>
      <c r="T159" s="25">
        <f t="shared" si="56"/>
        <v>0.9957600000000002</v>
      </c>
      <c r="U159" s="25">
        <f>+T159/Start!$C$15</f>
        <v>2.845028571428572E-2</v>
      </c>
      <c r="V159" s="25">
        <f>+U159/1000*Start!$C$18</f>
        <v>1.422514285714286E-2</v>
      </c>
      <c r="W159" s="25">
        <f t="shared" si="40"/>
        <v>0</v>
      </c>
      <c r="X159" s="25" t="str">
        <f t="shared" si="41"/>
        <v/>
      </c>
      <c r="Y159" s="25" t="str">
        <f>IF(I159="Strom",T159/Q159/(Start!$C$15),"")</f>
        <v/>
      </c>
      <c r="Z159" s="25" t="str">
        <f t="shared" si="52"/>
        <v/>
      </c>
    </row>
    <row r="160" spans="1:26" ht="15" customHeight="1">
      <c r="A160" s="17">
        <v>159</v>
      </c>
      <c r="B160" s="18" t="s">
        <v>63</v>
      </c>
      <c r="C160" s="18" t="s">
        <v>23</v>
      </c>
      <c r="D160" s="17" t="s">
        <v>230</v>
      </c>
      <c r="E160" s="17" t="s">
        <v>230</v>
      </c>
      <c r="F160" s="17" t="s">
        <v>230</v>
      </c>
      <c r="G160" s="19" t="s">
        <v>97</v>
      </c>
      <c r="H160" s="20" t="s">
        <v>3</v>
      </c>
      <c r="I160" s="18" t="s">
        <v>27</v>
      </c>
      <c r="K160" s="19" t="str">
        <f>_xlfn.XLOOKUP(L160,Values!$A$137:$A$140,Values!$B$137:$B$140)</f>
        <v>1 bis 25</v>
      </c>
      <c r="L160" s="21">
        <v>6</v>
      </c>
      <c r="M160" s="18" t="s">
        <v>10</v>
      </c>
      <c r="N160" s="22">
        <v>15</v>
      </c>
      <c r="O160" s="18"/>
      <c r="P160" s="18"/>
      <c r="Q160" s="69"/>
      <c r="R160" s="39">
        <v>764</v>
      </c>
      <c r="S160" s="24">
        <f>+R160/N160</f>
        <v>50.93333333333333</v>
      </c>
      <c r="T160" s="25">
        <f t="shared" si="56"/>
        <v>8.4888888888888889</v>
      </c>
      <c r="U160" s="25">
        <f>+T160/Start!$C$15</f>
        <v>0.24253968253968253</v>
      </c>
      <c r="V160" s="25">
        <f>+U160/1000*Start!$C$18</f>
        <v>0.12126984126984126</v>
      </c>
      <c r="W160" s="25">
        <f t="shared" si="40"/>
        <v>127.33333333333333</v>
      </c>
      <c r="X160" s="25" t="str">
        <f t="shared" si="41"/>
        <v/>
      </c>
      <c r="Y160" s="25" t="str">
        <f>IF(I160="Strom",T160/Q160/(Start!$C$15),"")</f>
        <v/>
      </c>
      <c r="Z160" s="25" t="str">
        <f t="shared" si="52"/>
        <v/>
      </c>
    </row>
    <row r="161" spans="1:26" ht="15" customHeight="1">
      <c r="A161" s="17">
        <v>160</v>
      </c>
      <c r="B161" s="18" t="s">
        <v>63</v>
      </c>
      <c r="C161" s="18" t="s">
        <v>23</v>
      </c>
      <c r="D161" s="17" t="s">
        <v>230</v>
      </c>
      <c r="E161" s="17" t="s">
        <v>230</v>
      </c>
      <c r="F161" s="17" t="s">
        <v>230</v>
      </c>
      <c r="G161" s="19" t="s">
        <v>97</v>
      </c>
      <c r="H161" s="20" t="s">
        <v>0</v>
      </c>
      <c r="I161" s="18" t="s">
        <v>103</v>
      </c>
      <c r="K161" s="19" t="str">
        <f>_xlfn.XLOOKUP(L161,Values!$A$137:$A$140,Values!$B$137:$B$140)</f>
        <v>1 bis 25</v>
      </c>
      <c r="L161" s="21">
        <v>6</v>
      </c>
      <c r="M161" s="18" t="s">
        <v>104</v>
      </c>
      <c r="N161" s="61">
        <v>1</v>
      </c>
      <c r="O161" s="35">
        <f>+L161*2*10/4</f>
        <v>30</v>
      </c>
      <c r="P161" s="36">
        <v>20</v>
      </c>
      <c r="Q161" s="37">
        <f>+Start!$C$29</f>
        <v>14</v>
      </c>
      <c r="S161" s="42">
        <f>+O161*P161/60*Q161</f>
        <v>140</v>
      </c>
      <c r="T161" s="25">
        <f t="shared" si="56"/>
        <v>23.333333333333332</v>
      </c>
      <c r="U161" s="25">
        <f>+T161/Start!$C$15</f>
        <v>0.66666666666666663</v>
      </c>
      <c r="V161" s="25">
        <f>+U161/1000*Start!$C$18</f>
        <v>0.33333333333333331</v>
      </c>
      <c r="W161" s="25">
        <f t="shared" si="40"/>
        <v>0</v>
      </c>
      <c r="X161" s="25">
        <f t="shared" si="41"/>
        <v>1.6666666666666667</v>
      </c>
      <c r="Y161" s="25" t="str">
        <f>IF(I161="Strom",T161/Q161/(Start!$C$15),"")</f>
        <v/>
      </c>
      <c r="Z161" s="25" t="str">
        <f t="shared" si="52"/>
        <v/>
      </c>
    </row>
    <row r="162" spans="1:26" ht="15" customHeight="1">
      <c r="A162" s="17">
        <v>161</v>
      </c>
      <c r="B162" s="18" t="s">
        <v>63</v>
      </c>
      <c r="C162" s="18" t="s">
        <v>23</v>
      </c>
      <c r="D162" s="17" t="s">
        <v>230</v>
      </c>
      <c r="E162" s="17" t="s">
        <v>230</v>
      </c>
      <c r="F162" s="17" t="s">
        <v>230</v>
      </c>
      <c r="G162" s="19" t="s">
        <v>97</v>
      </c>
      <c r="H162" s="18" t="s">
        <v>117</v>
      </c>
      <c r="I162" s="18" t="s">
        <v>103</v>
      </c>
      <c r="K162" s="19" t="str">
        <f>_xlfn.XLOOKUP(L162,Values!$A$137:$A$140,Values!$B$137:$B$140)</f>
        <v>1 bis 25</v>
      </c>
      <c r="L162" s="21">
        <v>6</v>
      </c>
      <c r="M162" s="18" t="s">
        <v>10</v>
      </c>
      <c r="N162" s="61"/>
      <c r="O162" s="35"/>
      <c r="P162" s="37"/>
      <c r="Q162" s="43">
        <f>+Start!$C$30</f>
        <v>0.28999999999999998</v>
      </c>
      <c r="S162" s="24">
        <f>(+S161)*Q162</f>
        <v>40.599999999999994</v>
      </c>
      <c r="T162" s="25">
        <f t="shared" si="56"/>
        <v>6.7666666666666657</v>
      </c>
      <c r="U162" s="25">
        <f>+T162/Start!$C$15</f>
        <v>0.1933333333333333</v>
      </c>
      <c r="V162" s="25">
        <f>+U162/1000*Start!$C$18</f>
        <v>9.6666666666666651E-2</v>
      </c>
      <c r="W162" s="25">
        <f t="shared" si="40"/>
        <v>0</v>
      </c>
      <c r="X162" s="25" t="str">
        <f t="shared" si="41"/>
        <v/>
      </c>
      <c r="Y162" s="25" t="str">
        <f>IF(I162="Strom",T162/Q162/(Start!$C$15),"")</f>
        <v/>
      </c>
      <c r="Z162" s="25" t="str">
        <f t="shared" si="52"/>
        <v/>
      </c>
    </row>
    <row r="163" spans="1:26" ht="15" customHeight="1">
      <c r="A163" s="17">
        <v>162</v>
      </c>
      <c r="B163" s="18" t="s">
        <v>63</v>
      </c>
      <c r="C163" s="18" t="s">
        <v>23</v>
      </c>
      <c r="D163" s="17" t="s">
        <v>230</v>
      </c>
      <c r="E163" s="17" t="s">
        <v>230</v>
      </c>
      <c r="F163" s="17" t="s">
        <v>230</v>
      </c>
      <c r="G163" s="19" t="s">
        <v>84</v>
      </c>
      <c r="H163" s="20" t="s">
        <v>86</v>
      </c>
      <c r="I163" s="20" t="s">
        <v>145</v>
      </c>
      <c r="J163" s="20" t="s">
        <v>147</v>
      </c>
      <c r="K163" s="19" t="str">
        <f>_xlfn.XLOOKUP(L163,Values!$A$137:$A$140,Values!$B$137:$B$140)</f>
        <v>1 bis 25</v>
      </c>
      <c r="L163" s="21">
        <v>6</v>
      </c>
      <c r="M163" s="18" t="s">
        <v>10</v>
      </c>
      <c r="N163" s="61">
        <v>1</v>
      </c>
      <c r="O163" s="70">
        <v>0.1</v>
      </c>
      <c r="P163" s="36"/>
      <c r="Q163" s="63">
        <v>0.4</v>
      </c>
      <c r="S163" s="24">
        <f>+Q163*O163*L163*Start!$C$15</f>
        <v>8.4000000000000021</v>
      </c>
      <c r="T163" s="25">
        <f t="shared" si="56"/>
        <v>1.4000000000000004</v>
      </c>
      <c r="U163" s="25">
        <f>+T163/Start!$C$15</f>
        <v>4.0000000000000008E-2</v>
      </c>
      <c r="V163" s="25">
        <f>+U163/1000*Start!$C$18</f>
        <v>2.0000000000000004E-2</v>
      </c>
      <c r="W163" s="25">
        <f t="shared" ref="W163:W226" si="57">+R163/L163</f>
        <v>0</v>
      </c>
      <c r="X163" s="25" t="str">
        <f t="shared" ref="X163:X226" si="58">IF(H163="Arbeit",S163/Q163/L163,"")</f>
        <v/>
      </c>
      <c r="Y163" s="25">
        <f>IF(I163="Strom",T163/Q163/(Start!$C$15),"")</f>
        <v>0.10000000000000002</v>
      </c>
      <c r="Z163" s="25" t="str">
        <f t="shared" si="52"/>
        <v/>
      </c>
    </row>
    <row r="164" spans="1:26" ht="15" customHeight="1">
      <c r="A164" s="17">
        <v>163</v>
      </c>
      <c r="B164" s="18" t="s">
        <v>63</v>
      </c>
      <c r="C164" s="18" t="s">
        <v>23</v>
      </c>
      <c r="D164" s="17" t="s">
        <v>230</v>
      </c>
      <c r="E164" s="17" t="s">
        <v>230</v>
      </c>
      <c r="F164" s="17" t="s">
        <v>230</v>
      </c>
      <c r="G164" s="19" t="s">
        <v>84</v>
      </c>
      <c r="H164" s="20" t="s">
        <v>86</v>
      </c>
      <c r="I164" s="18" t="s">
        <v>98</v>
      </c>
      <c r="J164" s="19" t="s">
        <v>100</v>
      </c>
      <c r="K164" s="19" t="str">
        <f>_xlfn.XLOOKUP(L164,Values!$A$137:$A$140,Values!$B$137:$B$140)</f>
        <v>1 bis 25</v>
      </c>
      <c r="L164" s="21">
        <v>6</v>
      </c>
      <c r="M164" s="18" t="s">
        <v>10</v>
      </c>
      <c r="N164" s="61">
        <v>3</v>
      </c>
      <c r="O164" s="71">
        <f>ROUND(+L164*Start!$C$15/14,0)</f>
        <v>15</v>
      </c>
      <c r="P164" s="48"/>
      <c r="Q164" s="30">
        <v>2.5</v>
      </c>
      <c r="S164" s="24">
        <f>+(O164*Q164)/N164</f>
        <v>12.5</v>
      </c>
      <c r="T164" s="25">
        <f t="shared" si="56"/>
        <v>2.0833333333333335</v>
      </c>
      <c r="U164" s="25">
        <f>+T164/Start!$C$15</f>
        <v>5.9523809523809527E-2</v>
      </c>
      <c r="V164" s="25">
        <f>+U164/1000*Start!$C$18</f>
        <v>2.9761904761904764E-2</v>
      </c>
      <c r="W164" s="25">
        <f t="shared" si="57"/>
        <v>0</v>
      </c>
      <c r="X164" s="25" t="str">
        <f t="shared" si="58"/>
        <v/>
      </c>
      <c r="Y164" s="25" t="str">
        <f>IF(I164="Strom",T164/Q164/(Start!$C$15),"")</f>
        <v/>
      </c>
      <c r="Z164" s="25" t="str">
        <f t="shared" si="52"/>
        <v/>
      </c>
    </row>
    <row r="165" spans="1:26" ht="15" customHeight="1">
      <c r="A165" s="17">
        <v>164</v>
      </c>
      <c r="B165" s="18" t="s">
        <v>63</v>
      </c>
      <c r="C165" s="18" t="s">
        <v>23</v>
      </c>
      <c r="D165" s="17" t="s">
        <v>230</v>
      </c>
      <c r="E165" s="17" t="s">
        <v>230</v>
      </c>
      <c r="F165" s="17" t="s">
        <v>230</v>
      </c>
      <c r="G165" s="19" t="s">
        <v>84</v>
      </c>
      <c r="H165" s="20" t="s">
        <v>86</v>
      </c>
      <c r="I165" s="18" t="s">
        <v>99</v>
      </c>
      <c r="J165" s="19" t="s">
        <v>100</v>
      </c>
      <c r="K165" s="19" t="str">
        <f>_xlfn.XLOOKUP(L165,Values!$A$137:$A$140,Values!$B$137:$B$140)</f>
        <v>1 bis 25</v>
      </c>
      <c r="L165" s="21">
        <v>6</v>
      </c>
      <c r="M165" s="18" t="s">
        <v>10</v>
      </c>
      <c r="N165" s="72"/>
      <c r="O165" s="71">
        <f>+O164/3</f>
        <v>5</v>
      </c>
      <c r="P165" s="48"/>
      <c r="Q165" s="30">
        <v>2.5</v>
      </c>
      <c r="S165" s="24">
        <f>+O165*Q165</f>
        <v>12.5</v>
      </c>
      <c r="T165" s="25">
        <f t="shared" si="56"/>
        <v>2.0833333333333335</v>
      </c>
      <c r="U165" s="25">
        <f>+T165/Start!$C$15</f>
        <v>5.9523809523809527E-2</v>
      </c>
      <c r="V165" s="25">
        <f>+U165/1000*Start!$C$18</f>
        <v>2.9761904761904764E-2</v>
      </c>
      <c r="W165" s="25">
        <f t="shared" si="57"/>
        <v>0</v>
      </c>
      <c r="X165" s="25" t="str">
        <f t="shared" si="58"/>
        <v/>
      </c>
      <c r="Y165" s="25" t="str">
        <f>IF(I165="Strom",T165/Q165/(Start!$C$15),"")</f>
        <v/>
      </c>
      <c r="Z165" s="25" t="str">
        <f t="shared" si="52"/>
        <v/>
      </c>
    </row>
    <row r="166" spans="1:26" ht="15" customHeight="1">
      <c r="A166" s="17">
        <v>165</v>
      </c>
      <c r="B166" s="18" t="s">
        <v>63</v>
      </c>
      <c r="C166" s="18" t="s">
        <v>23</v>
      </c>
      <c r="D166" s="17" t="s">
        <v>230</v>
      </c>
      <c r="E166" s="17" t="s">
        <v>230</v>
      </c>
      <c r="F166" s="17" t="s">
        <v>230</v>
      </c>
      <c r="G166" s="19" t="s">
        <v>97</v>
      </c>
      <c r="H166" s="20" t="s">
        <v>48</v>
      </c>
      <c r="I166" s="18" t="s">
        <v>17</v>
      </c>
      <c r="J166" s="19" t="s">
        <v>67</v>
      </c>
      <c r="K166" s="19" t="str">
        <f>_xlfn.XLOOKUP(L166,Values!$A$137:$A$140,Values!$B$137:$B$140)</f>
        <v>1 bis 25</v>
      </c>
      <c r="L166" s="21">
        <v>6</v>
      </c>
      <c r="M166" s="18" t="s">
        <v>10</v>
      </c>
      <c r="N166" s="48"/>
      <c r="O166" s="49">
        <f>SUM(R158:R165)/2</f>
        <v>382</v>
      </c>
      <c r="P166" s="18"/>
      <c r="Q166" s="50">
        <v>0.03</v>
      </c>
      <c r="S166" s="24">
        <f>+O166*Q166</f>
        <v>11.459999999999999</v>
      </c>
      <c r="T166" s="25">
        <f t="shared" si="56"/>
        <v>1.91</v>
      </c>
      <c r="U166" s="25">
        <f>+T166/Start!$C$15</f>
        <v>5.4571428571428569E-2</v>
      </c>
      <c r="V166" s="25">
        <f>+U166/1000*Start!$C$18</f>
        <v>2.7285714285714285E-2</v>
      </c>
      <c r="W166" s="25">
        <f t="shared" si="57"/>
        <v>0</v>
      </c>
      <c r="X166" s="25" t="str">
        <f t="shared" si="58"/>
        <v/>
      </c>
      <c r="Y166" s="25" t="str">
        <f>IF(I166="Strom",T166/Q166/(Start!$C$15),"")</f>
        <v/>
      </c>
      <c r="Z166" s="25" t="str">
        <f t="shared" si="52"/>
        <v/>
      </c>
    </row>
    <row r="167" spans="1:26" ht="15" customHeight="1">
      <c r="A167" s="17">
        <v>166</v>
      </c>
      <c r="B167" s="18" t="s">
        <v>63</v>
      </c>
      <c r="C167" s="18" t="s">
        <v>23</v>
      </c>
      <c r="D167" s="17" t="s">
        <v>230</v>
      </c>
      <c r="E167" s="17" t="s">
        <v>230</v>
      </c>
      <c r="F167" s="17" t="s">
        <v>230</v>
      </c>
      <c r="G167" s="19" t="s">
        <v>84</v>
      </c>
      <c r="H167" s="20" t="s">
        <v>176</v>
      </c>
      <c r="I167" s="18" t="s">
        <v>25</v>
      </c>
      <c r="J167" s="19" t="s">
        <v>52</v>
      </c>
      <c r="K167" s="19" t="str">
        <f>_xlfn.XLOOKUP(L167,Values!$A$137:$A$140,Values!$B$137:$B$140)</f>
        <v>1 bis 25</v>
      </c>
      <c r="L167" s="21">
        <v>6</v>
      </c>
      <c r="M167" s="19" t="s">
        <v>10</v>
      </c>
      <c r="O167" s="40">
        <v>1</v>
      </c>
      <c r="Q167" s="55">
        <v>30</v>
      </c>
      <c r="S167" s="24">
        <f>+(O167*Q167)</f>
        <v>30</v>
      </c>
      <c r="T167" s="25">
        <f t="shared" si="56"/>
        <v>5</v>
      </c>
      <c r="U167" s="25">
        <f>+T167/Start!$C$15</f>
        <v>0.14285714285714285</v>
      </c>
      <c r="V167" s="25">
        <f>+U167/1000*Start!$C$18</f>
        <v>7.1428571428571425E-2</v>
      </c>
      <c r="W167" s="25">
        <f t="shared" si="57"/>
        <v>0</v>
      </c>
      <c r="X167" s="25" t="str">
        <f t="shared" si="58"/>
        <v/>
      </c>
      <c r="Y167" s="25" t="str">
        <f>IF(I167="Strom",T167/Q167/(Start!$C$15),"")</f>
        <v/>
      </c>
      <c r="Z167" s="25" t="str">
        <f t="shared" si="52"/>
        <v/>
      </c>
    </row>
    <row r="168" spans="1:26" ht="15" customHeight="1">
      <c r="A168" s="17">
        <v>167</v>
      </c>
      <c r="B168" s="18" t="s">
        <v>63</v>
      </c>
      <c r="C168" s="18" t="s">
        <v>23</v>
      </c>
      <c r="D168" s="17" t="s">
        <v>230</v>
      </c>
      <c r="E168" s="17" t="s">
        <v>230</v>
      </c>
      <c r="F168" s="17" t="s">
        <v>230</v>
      </c>
      <c r="G168" s="19" t="s">
        <v>97</v>
      </c>
      <c r="H168" s="20" t="s">
        <v>16</v>
      </c>
      <c r="I168" s="18" t="s">
        <v>16</v>
      </c>
      <c r="J168" s="19" t="s">
        <v>21</v>
      </c>
      <c r="K168" s="19" t="str">
        <f>_xlfn.XLOOKUP(L168,Values!$A$137:$A$140,Values!$B$137:$B$140)</f>
        <v>26 bis 70</v>
      </c>
      <c r="L168" s="51">
        <v>26</v>
      </c>
      <c r="M168" s="19" t="s">
        <v>10</v>
      </c>
      <c r="N168" s="44">
        <v>1</v>
      </c>
      <c r="O168" s="45">
        <v>6</v>
      </c>
      <c r="Q168" s="46">
        <f>+Start!$C$31*1.5</f>
        <v>6.9150000000000009</v>
      </c>
      <c r="S168" s="24">
        <f>+O168*Q168*12</f>
        <v>497.88000000000011</v>
      </c>
      <c r="T168" s="25">
        <f t="shared" ref="T168:T197" si="59">+S168/L168</f>
        <v>19.149230769230773</v>
      </c>
      <c r="U168" s="25">
        <f>+T168/Start!$C$15</f>
        <v>0.54712087912087926</v>
      </c>
      <c r="V168" s="25">
        <f>+U168/1000*Start!$C$18</f>
        <v>0.27356043956043963</v>
      </c>
      <c r="W168" s="25">
        <f t="shared" si="57"/>
        <v>0</v>
      </c>
      <c r="X168" s="25" t="str">
        <f t="shared" si="58"/>
        <v/>
      </c>
      <c r="Y168" s="25" t="str">
        <f>IF(I168="Strom",T168/Q168/(Start!$C$15),"")</f>
        <v/>
      </c>
      <c r="Z168" s="25" t="str">
        <f t="shared" si="52"/>
        <v/>
      </c>
    </row>
    <row r="169" spans="1:26" ht="15" customHeight="1">
      <c r="A169" s="17">
        <v>168</v>
      </c>
      <c r="B169" s="18" t="s">
        <v>63</v>
      </c>
      <c r="C169" s="18" t="s">
        <v>23</v>
      </c>
      <c r="D169" s="17" t="s">
        <v>230</v>
      </c>
      <c r="E169" s="17" t="s">
        <v>230</v>
      </c>
      <c r="F169" s="17" t="s">
        <v>230</v>
      </c>
      <c r="G169" s="19" t="s">
        <v>97</v>
      </c>
      <c r="H169" s="20" t="s">
        <v>16</v>
      </c>
      <c r="I169" s="18" t="s">
        <v>101</v>
      </c>
      <c r="J169" s="19" t="s">
        <v>21</v>
      </c>
      <c r="K169" s="19" t="str">
        <f>_xlfn.XLOOKUP(L169,Values!$A$137:$A$140,Values!$B$137:$B$140)</f>
        <v>26 bis 70</v>
      </c>
      <c r="L169" s="51">
        <v>26</v>
      </c>
      <c r="M169" s="19" t="s">
        <v>10</v>
      </c>
      <c r="N169" s="44">
        <v>1</v>
      </c>
      <c r="O169" s="47">
        <f>+O168</f>
        <v>6</v>
      </c>
      <c r="Q169" s="46">
        <f>+Q168*0.02</f>
        <v>0.13830000000000003</v>
      </c>
      <c r="S169" s="24">
        <f>+O169*Q169*12</f>
        <v>9.9576000000000029</v>
      </c>
      <c r="T169" s="25">
        <f t="shared" si="59"/>
        <v>0.38298461538461548</v>
      </c>
      <c r="U169" s="25">
        <f>+T169/Start!$C$15</f>
        <v>1.0942417582417586E-2</v>
      </c>
      <c r="V169" s="25">
        <f>+U169/1000*Start!$C$18</f>
        <v>5.4712087912087929E-3</v>
      </c>
      <c r="W169" s="25">
        <f t="shared" si="57"/>
        <v>0</v>
      </c>
      <c r="X169" s="25" t="str">
        <f t="shared" si="58"/>
        <v/>
      </c>
      <c r="Y169" s="25" t="str">
        <f>IF(I169="Strom",T169/Q169/(Start!$C$15),"")</f>
        <v/>
      </c>
      <c r="Z169" s="25" t="str">
        <f t="shared" si="52"/>
        <v/>
      </c>
    </row>
    <row r="170" spans="1:26" ht="15" customHeight="1">
      <c r="A170" s="17">
        <v>169</v>
      </c>
      <c r="B170" s="18" t="s">
        <v>63</v>
      </c>
      <c r="C170" s="18" t="s">
        <v>23</v>
      </c>
      <c r="D170" s="17" t="s">
        <v>230</v>
      </c>
      <c r="E170" s="17" t="s">
        <v>230</v>
      </c>
      <c r="F170" s="17" t="s">
        <v>230</v>
      </c>
      <c r="G170" s="19" t="s">
        <v>97</v>
      </c>
      <c r="H170" s="20" t="s">
        <v>3</v>
      </c>
      <c r="I170" s="18" t="s">
        <v>27</v>
      </c>
      <c r="K170" s="19" t="str">
        <f>_xlfn.XLOOKUP(L170,Values!$A$137:$A$140,Values!$B$137:$B$140)</f>
        <v>26 bis 70</v>
      </c>
      <c r="L170" s="51">
        <v>26</v>
      </c>
      <c r="M170" s="18" t="s">
        <v>10</v>
      </c>
      <c r="N170" s="22">
        <v>15</v>
      </c>
      <c r="O170" s="18"/>
      <c r="P170" s="18"/>
      <c r="Q170" s="69"/>
      <c r="R170" s="39">
        <v>3923</v>
      </c>
      <c r="S170" s="24">
        <f>+R170/N170</f>
        <v>261.53333333333336</v>
      </c>
      <c r="T170" s="25">
        <f t="shared" si="59"/>
        <v>10.058974358974361</v>
      </c>
      <c r="U170" s="25">
        <f>+T170/Start!$C$15</f>
        <v>0.28739926739926747</v>
      </c>
      <c r="V170" s="25">
        <f>+U170/1000*Start!$C$18</f>
        <v>0.14369963369963373</v>
      </c>
      <c r="W170" s="25">
        <f t="shared" si="57"/>
        <v>150.88461538461539</v>
      </c>
      <c r="X170" s="25" t="str">
        <f t="shared" si="58"/>
        <v/>
      </c>
      <c r="Y170" s="25" t="str">
        <f>IF(I170="Strom",T170/Q170/(Start!$C$15),"")</f>
        <v/>
      </c>
      <c r="Z170" s="25" t="str">
        <f t="shared" si="52"/>
        <v/>
      </c>
    </row>
    <row r="171" spans="1:26" ht="15" customHeight="1">
      <c r="A171" s="17">
        <v>170</v>
      </c>
      <c r="B171" s="18" t="s">
        <v>63</v>
      </c>
      <c r="C171" s="18" t="s">
        <v>23</v>
      </c>
      <c r="D171" s="17" t="s">
        <v>230</v>
      </c>
      <c r="E171" s="17" t="s">
        <v>230</v>
      </c>
      <c r="F171" s="17" t="s">
        <v>230</v>
      </c>
      <c r="G171" s="19" t="s">
        <v>97</v>
      </c>
      <c r="H171" s="20" t="s">
        <v>0</v>
      </c>
      <c r="I171" s="18" t="s">
        <v>103</v>
      </c>
      <c r="K171" s="19" t="str">
        <f>_xlfn.XLOOKUP(L171,Values!$A$137:$A$140,Values!$B$137:$B$140)</f>
        <v>26 bis 70</v>
      </c>
      <c r="L171" s="51">
        <v>26</v>
      </c>
      <c r="M171" s="18" t="s">
        <v>104</v>
      </c>
      <c r="N171" s="61">
        <v>1</v>
      </c>
      <c r="O171" s="35">
        <f>+L171*2*10/4</f>
        <v>130</v>
      </c>
      <c r="P171" s="36">
        <v>17</v>
      </c>
      <c r="Q171" s="37">
        <f>+Start!$C$29</f>
        <v>14</v>
      </c>
      <c r="S171" s="42">
        <f>+O171*P171/60*Q171</f>
        <v>515.66666666666674</v>
      </c>
      <c r="T171" s="25">
        <f t="shared" si="59"/>
        <v>19.833333333333336</v>
      </c>
      <c r="U171" s="25">
        <f>+T171/Start!$C$15</f>
        <v>0.56666666666666676</v>
      </c>
      <c r="V171" s="25">
        <f>+U171/1000*Start!$C$18</f>
        <v>0.28333333333333338</v>
      </c>
      <c r="W171" s="25">
        <f t="shared" si="57"/>
        <v>0</v>
      </c>
      <c r="X171" s="25">
        <f t="shared" si="58"/>
        <v>1.4166666666666667</v>
      </c>
      <c r="Y171" s="25" t="str">
        <f>IF(I171="Strom",T171/Q171/(Start!$C$15),"")</f>
        <v/>
      </c>
      <c r="Z171" s="25" t="str">
        <f t="shared" si="52"/>
        <v/>
      </c>
    </row>
    <row r="172" spans="1:26" ht="15" customHeight="1">
      <c r="A172" s="17">
        <v>171</v>
      </c>
      <c r="B172" s="18" t="s">
        <v>63</v>
      </c>
      <c r="C172" s="18" t="s">
        <v>23</v>
      </c>
      <c r="D172" s="17" t="s">
        <v>230</v>
      </c>
      <c r="E172" s="17" t="s">
        <v>230</v>
      </c>
      <c r="F172" s="17" t="s">
        <v>230</v>
      </c>
      <c r="G172" s="19" t="s">
        <v>97</v>
      </c>
      <c r="H172" s="18" t="s">
        <v>117</v>
      </c>
      <c r="I172" s="18" t="s">
        <v>103</v>
      </c>
      <c r="K172" s="19" t="str">
        <f>_xlfn.XLOOKUP(L172,Values!$A$137:$A$140,Values!$B$137:$B$140)</f>
        <v>26 bis 70</v>
      </c>
      <c r="L172" s="51">
        <v>26</v>
      </c>
      <c r="M172" s="18" t="s">
        <v>10</v>
      </c>
      <c r="N172" s="61"/>
      <c r="O172" s="35"/>
      <c r="P172" s="37"/>
      <c r="Q172" s="43">
        <f>+Start!$C$30</f>
        <v>0.28999999999999998</v>
      </c>
      <c r="S172" s="24">
        <f>(+S171)*Q172</f>
        <v>149.54333333333335</v>
      </c>
      <c r="T172" s="25">
        <f t="shared" si="59"/>
        <v>5.7516666666666669</v>
      </c>
      <c r="U172" s="25">
        <f>+T172/Start!$C$15</f>
        <v>0.16433333333333333</v>
      </c>
      <c r="V172" s="25">
        <f>+U172/1000*Start!$C$18</f>
        <v>8.2166666666666666E-2</v>
      </c>
      <c r="W172" s="25">
        <f t="shared" si="57"/>
        <v>0</v>
      </c>
      <c r="X172" s="25" t="str">
        <f t="shared" si="58"/>
        <v/>
      </c>
      <c r="Y172" s="25" t="str">
        <f>IF(I172="Strom",T172/Q172/(Start!$C$15),"")</f>
        <v/>
      </c>
      <c r="Z172" s="25" t="str">
        <f t="shared" si="52"/>
        <v/>
      </c>
    </row>
    <row r="173" spans="1:26" ht="15" customHeight="1">
      <c r="A173" s="17">
        <v>172</v>
      </c>
      <c r="B173" s="18" t="s">
        <v>63</v>
      </c>
      <c r="C173" s="18" t="s">
        <v>23</v>
      </c>
      <c r="D173" s="17" t="s">
        <v>230</v>
      </c>
      <c r="E173" s="17" t="s">
        <v>230</v>
      </c>
      <c r="F173" s="17" t="s">
        <v>230</v>
      </c>
      <c r="G173" s="19" t="s">
        <v>84</v>
      </c>
      <c r="H173" s="20" t="s">
        <v>86</v>
      </c>
      <c r="I173" s="20" t="s">
        <v>145</v>
      </c>
      <c r="J173" s="20" t="s">
        <v>147</v>
      </c>
      <c r="K173" s="19" t="str">
        <f>_xlfn.XLOOKUP(L173,Values!$A$137:$A$140,Values!$B$137:$B$140)</f>
        <v>26 bis 70</v>
      </c>
      <c r="L173" s="51">
        <v>26</v>
      </c>
      <c r="M173" s="18" t="s">
        <v>10</v>
      </c>
      <c r="N173" s="61">
        <v>1</v>
      </c>
      <c r="O173" s="70">
        <v>0.1</v>
      </c>
      <c r="P173" s="36"/>
      <c r="Q173" s="63">
        <v>0.4</v>
      </c>
      <c r="S173" s="24">
        <f>+Q173*O173*L173*Start!$C$15</f>
        <v>36.400000000000006</v>
      </c>
      <c r="T173" s="25">
        <f t="shared" si="59"/>
        <v>1.4000000000000001</v>
      </c>
      <c r="U173" s="25">
        <f>+T173/Start!$C$15</f>
        <v>0.04</v>
      </c>
      <c r="V173" s="25">
        <f>+U173/1000*Start!$C$18</f>
        <v>0.02</v>
      </c>
      <c r="W173" s="25">
        <f t="shared" si="57"/>
        <v>0</v>
      </c>
      <c r="X173" s="25" t="str">
        <f t="shared" si="58"/>
        <v/>
      </c>
      <c r="Y173" s="25">
        <f>IF(I173="Strom",T173/Q173/(Start!$C$15),"")</f>
        <v>0.1</v>
      </c>
      <c r="Z173" s="25" t="str">
        <f t="shared" si="52"/>
        <v/>
      </c>
    </row>
    <row r="174" spans="1:26" ht="15" customHeight="1">
      <c r="A174" s="17">
        <v>173</v>
      </c>
      <c r="B174" s="18" t="s">
        <v>63</v>
      </c>
      <c r="C174" s="18" t="s">
        <v>23</v>
      </c>
      <c r="D174" s="17" t="s">
        <v>230</v>
      </c>
      <c r="E174" s="17" t="s">
        <v>230</v>
      </c>
      <c r="F174" s="17" t="s">
        <v>230</v>
      </c>
      <c r="G174" s="19" t="s">
        <v>84</v>
      </c>
      <c r="H174" s="20" t="s">
        <v>86</v>
      </c>
      <c r="I174" s="18" t="s">
        <v>98</v>
      </c>
      <c r="J174" s="19" t="s">
        <v>100</v>
      </c>
      <c r="K174" s="19" t="str">
        <f>_xlfn.XLOOKUP(L174,Values!$A$137:$A$140,Values!$B$137:$B$140)</f>
        <v>26 bis 70</v>
      </c>
      <c r="L174" s="51">
        <v>26</v>
      </c>
      <c r="M174" s="18" t="s">
        <v>10</v>
      </c>
      <c r="N174" s="61">
        <v>3</v>
      </c>
      <c r="O174" s="71">
        <f>ROUND(+L174*Start!$C$15/14,0)</f>
        <v>65</v>
      </c>
      <c r="P174" s="48"/>
      <c r="Q174" s="30">
        <v>2.5</v>
      </c>
      <c r="S174" s="24">
        <f>+(O174*Q174)/N174</f>
        <v>54.166666666666664</v>
      </c>
      <c r="T174" s="25">
        <f t="shared" si="59"/>
        <v>2.083333333333333</v>
      </c>
      <c r="U174" s="25">
        <f>+T174/Start!$C$15</f>
        <v>5.9523809523809514E-2</v>
      </c>
      <c r="V174" s="25">
        <f>+U174/1000*Start!$C$18</f>
        <v>2.9761904761904757E-2</v>
      </c>
      <c r="W174" s="25">
        <f t="shared" si="57"/>
        <v>0</v>
      </c>
      <c r="X174" s="25" t="str">
        <f t="shared" si="58"/>
        <v/>
      </c>
      <c r="Y174" s="25" t="str">
        <f>IF(I174="Strom",T174/Q174/(Start!$C$15),"")</f>
        <v/>
      </c>
      <c r="Z174" s="25" t="str">
        <f t="shared" si="52"/>
        <v/>
      </c>
    </row>
    <row r="175" spans="1:26" ht="15" customHeight="1">
      <c r="A175" s="17">
        <v>174</v>
      </c>
      <c r="B175" s="18" t="s">
        <v>63</v>
      </c>
      <c r="C175" s="18" t="s">
        <v>23</v>
      </c>
      <c r="D175" s="17" t="s">
        <v>230</v>
      </c>
      <c r="E175" s="17" t="s">
        <v>230</v>
      </c>
      <c r="F175" s="17" t="s">
        <v>230</v>
      </c>
      <c r="G175" s="19" t="s">
        <v>84</v>
      </c>
      <c r="H175" s="20" t="s">
        <v>86</v>
      </c>
      <c r="I175" s="18" t="s">
        <v>99</v>
      </c>
      <c r="J175" s="19" t="s">
        <v>100</v>
      </c>
      <c r="K175" s="19" t="str">
        <f>_xlfn.XLOOKUP(L175,Values!$A$137:$A$140,Values!$B$137:$B$140)</f>
        <v>26 bis 70</v>
      </c>
      <c r="L175" s="51">
        <v>26</v>
      </c>
      <c r="M175" s="18" t="s">
        <v>10</v>
      </c>
      <c r="N175" s="72"/>
      <c r="O175" s="71">
        <f>+O174/3</f>
        <v>21.666666666666668</v>
      </c>
      <c r="P175" s="48"/>
      <c r="Q175" s="30">
        <v>2.5</v>
      </c>
      <c r="S175" s="24">
        <f>+O175*Q175</f>
        <v>54.166666666666671</v>
      </c>
      <c r="T175" s="25">
        <f t="shared" si="59"/>
        <v>2.0833333333333335</v>
      </c>
      <c r="U175" s="25">
        <f>+T175/Start!$C$15</f>
        <v>5.9523809523809527E-2</v>
      </c>
      <c r="V175" s="25">
        <f>+U175/1000*Start!$C$18</f>
        <v>2.9761904761904764E-2</v>
      </c>
      <c r="W175" s="25">
        <f t="shared" si="57"/>
        <v>0</v>
      </c>
      <c r="X175" s="25" t="str">
        <f t="shared" si="58"/>
        <v/>
      </c>
      <c r="Y175" s="25" t="str">
        <f>IF(I175="Strom",T175/Q175/(Start!$C$15),"")</f>
        <v/>
      </c>
      <c r="Z175" s="25" t="str">
        <f t="shared" si="52"/>
        <v/>
      </c>
    </row>
    <row r="176" spans="1:26" ht="15" customHeight="1">
      <c r="A176" s="17">
        <v>175</v>
      </c>
      <c r="B176" s="18" t="s">
        <v>63</v>
      </c>
      <c r="C176" s="18" t="s">
        <v>23</v>
      </c>
      <c r="D176" s="17" t="s">
        <v>230</v>
      </c>
      <c r="E176" s="17" t="s">
        <v>230</v>
      </c>
      <c r="F176" s="17" t="s">
        <v>230</v>
      </c>
      <c r="G176" s="19" t="s">
        <v>97</v>
      </c>
      <c r="H176" s="20" t="s">
        <v>48</v>
      </c>
      <c r="I176" s="18" t="s">
        <v>17</v>
      </c>
      <c r="J176" s="19" t="s">
        <v>67</v>
      </c>
      <c r="K176" s="19" t="str">
        <f>_xlfn.XLOOKUP(L176,Values!$A$137:$A$140,Values!$B$137:$B$140)</f>
        <v>26 bis 70</v>
      </c>
      <c r="L176" s="51">
        <v>26</v>
      </c>
      <c r="M176" s="18" t="s">
        <v>10</v>
      </c>
      <c r="N176" s="48"/>
      <c r="O176" s="49">
        <f>SUM(R168:R175)/2</f>
        <v>1961.5</v>
      </c>
      <c r="P176" s="18"/>
      <c r="Q176" s="50">
        <v>0.03</v>
      </c>
      <c r="S176" s="24">
        <f>+O176*Q176</f>
        <v>58.844999999999999</v>
      </c>
      <c r="T176" s="25">
        <f t="shared" si="59"/>
        <v>2.2632692307692306</v>
      </c>
      <c r="U176" s="25">
        <f>+T176/Start!$C$15</f>
        <v>6.4664835164835163E-2</v>
      </c>
      <c r="V176" s="25">
        <f>+U176/1000*Start!$C$18</f>
        <v>3.2332417582417582E-2</v>
      </c>
      <c r="W176" s="25">
        <f t="shared" si="57"/>
        <v>0</v>
      </c>
      <c r="X176" s="25" t="str">
        <f t="shared" si="58"/>
        <v/>
      </c>
      <c r="Y176" s="25" t="str">
        <f>IF(I176="Strom",T176/Q176/(Start!$C$15),"")</f>
        <v/>
      </c>
      <c r="Z176" s="25" t="str">
        <f t="shared" si="52"/>
        <v/>
      </c>
    </row>
    <row r="177" spans="1:26" ht="15" customHeight="1">
      <c r="A177" s="17">
        <v>176</v>
      </c>
      <c r="B177" s="18" t="s">
        <v>63</v>
      </c>
      <c r="C177" s="18" t="s">
        <v>23</v>
      </c>
      <c r="D177" s="17" t="s">
        <v>230</v>
      </c>
      <c r="E177" s="17" t="s">
        <v>230</v>
      </c>
      <c r="F177" s="17" t="s">
        <v>230</v>
      </c>
      <c r="G177" s="19" t="s">
        <v>84</v>
      </c>
      <c r="H177" s="20" t="s">
        <v>176</v>
      </c>
      <c r="I177" s="18" t="s">
        <v>25</v>
      </c>
      <c r="J177" s="19" t="s">
        <v>52</v>
      </c>
      <c r="K177" s="19" t="str">
        <f>_xlfn.XLOOKUP(L177,Values!$A$137:$A$140,Values!$B$137:$B$140)</f>
        <v>26 bis 70</v>
      </c>
      <c r="L177" s="51">
        <v>26</v>
      </c>
      <c r="M177" s="19" t="s">
        <v>10</v>
      </c>
      <c r="O177" s="40">
        <v>2</v>
      </c>
      <c r="Q177" s="55">
        <v>30</v>
      </c>
      <c r="S177" s="24">
        <f>+(O177*Q177)</f>
        <v>60</v>
      </c>
      <c r="T177" s="25">
        <f t="shared" si="59"/>
        <v>2.3076923076923075</v>
      </c>
      <c r="U177" s="25">
        <f>+T177/Start!$C$15</f>
        <v>6.5934065934065922E-2</v>
      </c>
      <c r="V177" s="25">
        <f>+U177/1000*Start!$C$18</f>
        <v>3.2967032967032961E-2</v>
      </c>
      <c r="W177" s="25">
        <f t="shared" si="57"/>
        <v>0</v>
      </c>
      <c r="X177" s="25" t="str">
        <f t="shared" si="58"/>
        <v/>
      </c>
      <c r="Y177" s="25" t="str">
        <f>IF(I177="Strom",T177/Q177/(Start!$C$15),"")</f>
        <v/>
      </c>
      <c r="Z177" s="25" t="str">
        <f t="shared" si="52"/>
        <v/>
      </c>
    </row>
    <row r="178" spans="1:26" ht="15" customHeight="1">
      <c r="A178" s="17">
        <v>177</v>
      </c>
      <c r="B178" s="18" t="s">
        <v>63</v>
      </c>
      <c r="C178" s="18" t="s">
        <v>23</v>
      </c>
      <c r="D178" s="17" t="s">
        <v>230</v>
      </c>
      <c r="E178" s="17" t="s">
        <v>230</v>
      </c>
      <c r="F178" s="17" t="s">
        <v>230</v>
      </c>
      <c r="G178" s="19" t="s">
        <v>97</v>
      </c>
      <c r="H178" s="20" t="s">
        <v>16</v>
      </c>
      <c r="I178" s="18" t="s">
        <v>16</v>
      </c>
      <c r="J178" s="19" t="s">
        <v>21</v>
      </c>
      <c r="K178" s="19" t="str">
        <f>_xlfn.XLOOKUP(L178,Values!$A$137:$A$140,Values!$B$137:$B$140)</f>
        <v>71 bis 149</v>
      </c>
      <c r="L178" s="52">
        <v>71</v>
      </c>
      <c r="M178" s="19" t="s">
        <v>10</v>
      </c>
      <c r="N178" s="44">
        <v>1</v>
      </c>
      <c r="O178" s="45">
        <v>22</v>
      </c>
      <c r="Q178" s="46">
        <f>+Start!$C$31*1.5</f>
        <v>6.9150000000000009</v>
      </c>
      <c r="S178" s="24">
        <f>+O178*Q178*12</f>
        <v>1825.5600000000004</v>
      </c>
      <c r="T178" s="25">
        <f t="shared" si="59"/>
        <v>25.712112676056343</v>
      </c>
      <c r="U178" s="25">
        <f>+T178/Start!$C$15</f>
        <v>0.73463179074446694</v>
      </c>
      <c r="V178" s="25">
        <f>+U178/1000*Start!$C$18</f>
        <v>0.36731589537223347</v>
      </c>
      <c r="W178" s="25">
        <f t="shared" si="57"/>
        <v>0</v>
      </c>
      <c r="X178" s="25" t="str">
        <f t="shared" si="58"/>
        <v/>
      </c>
      <c r="Y178" s="25" t="str">
        <f>IF(I178="Strom",T178/Q178/(Start!$C$15),"")</f>
        <v/>
      </c>
      <c r="Z178" s="25" t="str">
        <f t="shared" si="52"/>
        <v/>
      </c>
    </row>
    <row r="179" spans="1:26" ht="15" customHeight="1">
      <c r="A179" s="17">
        <v>178</v>
      </c>
      <c r="B179" s="18" t="s">
        <v>63</v>
      </c>
      <c r="C179" s="18" t="s">
        <v>23</v>
      </c>
      <c r="D179" s="17" t="s">
        <v>230</v>
      </c>
      <c r="E179" s="17" t="s">
        <v>230</v>
      </c>
      <c r="F179" s="17" t="s">
        <v>230</v>
      </c>
      <c r="G179" s="19" t="s">
        <v>97</v>
      </c>
      <c r="H179" s="20" t="s">
        <v>16</v>
      </c>
      <c r="I179" s="18" t="s">
        <v>101</v>
      </c>
      <c r="J179" s="19" t="s">
        <v>21</v>
      </c>
      <c r="K179" s="19" t="str">
        <f>_xlfn.XLOOKUP(L179,Values!$A$137:$A$140,Values!$B$137:$B$140)</f>
        <v>71 bis 149</v>
      </c>
      <c r="L179" s="52">
        <v>71</v>
      </c>
      <c r="M179" s="19" t="s">
        <v>10</v>
      </c>
      <c r="N179" s="44">
        <v>1</v>
      </c>
      <c r="O179" s="47">
        <f>+O178</f>
        <v>22</v>
      </c>
      <c r="Q179" s="46">
        <f>+Q178*0.02</f>
        <v>0.13830000000000003</v>
      </c>
      <c r="S179" s="24">
        <f>+O179*Q179*12</f>
        <v>36.511200000000009</v>
      </c>
      <c r="T179" s="25">
        <f t="shared" si="59"/>
        <v>0.51424225352112685</v>
      </c>
      <c r="U179" s="25">
        <f>+T179/Start!$C$15</f>
        <v>1.4692635814889339E-2</v>
      </c>
      <c r="V179" s="25">
        <f>+U179/1000*Start!$C$18</f>
        <v>7.3463179074446695E-3</v>
      </c>
      <c r="W179" s="25">
        <f t="shared" si="57"/>
        <v>0</v>
      </c>
      <c r="X179" s="25" t="str">
        <f t="shared" si="58"/>
        <v/>
      </c>
      <c r="Y179" s="25" t="str">
        <f>IF(I179="Strom",T179/Q179/(Start!$C$15),"")</f>
        <v/>
      </c>
      <c r="Z179" s="25" t="str">
        <f t="shared" si="52"/>
        <v/>
      </c>
    </row>
    <row r="180" spans="1:26" ht="15" customHeight="1">
      <c r="A180" s="17">
        <v>179</v>
      </c>
      <c r="B180" s="18" t="s">
        <v>63</v>
      </c>
      <c r="C180" s="18" t="s">
        <v>23</v>
      </c>
      <c r="D180" s="17" t="s">
        <v>230</v>
      </c>
      <c r="E180" s="17" t="s">
        <v>230</v>
      </c>
      <c r="F180" s="17" t="s">
        <v>230</v>
      </c>
      <c r="G180" s="19" t="s">
        <v>97</v>
      </c>
      <c r="H180" s="20" t="s">
        <v>3</v>
      </c>
      <c r="I180" s="18" t="s">
        <v>27</v>
      </c>
      <c r="K180" s="19" t="str">
        <f>_xlfn.XLOOKUP(L180,Values!$A$137:$A$140,Values!$B$137:$B$140)</f>
        <v>71 bis 149</v>
      </c>
      <c r="L180" s="52">
        <v>71</v>
      </c>
      <c r="M180" s="18" t="s">
        <v>10</v>
      </c>
      <c r="N180" s="22">
        <v>15</v>
      </c>
      <c r="O180" s="18"/>
      <c r="P180" s="18"/>
      <c r="Q180" s="69"/>
      <c r="R180" s="39">
        <v>9995</v>
      </c>
      <c r="S180" s="24">
        <f>+R180/N180</f>
        <v>666.33333333333337</v>
      </c>
      <c r="T180" s="25">
        <f t="shared" si="59"/>
        <v>9.384976525821596</v>
      </c>
      <c r="U180" s="25">
        <f>+T180/Start!$C$15</f>
        <v>0.26814218645204563</v>
      </c>
      <c r="V180" s="25">
        <f>+U180/1000*Start!$C$18</f>
        <v>0.13407109322602281</v>
      </c>
      <c r="W180" s="25">
        <f t="shared" si="57"/>
        <v>140.77464788732394</v>
      </c>
      <c r="X180" s="25" t="str">
        <f t="shared" si="58"/>
        <v/>
      </c>
      <c r="Y180" s="25" t="str">
        <f>IF(I180="Strom",T180/Q180/(Start!$C$15),"")</f>
        <v/>
      </c>
      <c r="Z180" s="25" t="str">
        <f t="shared" si="52"/>
        <v/>
      </c>
    </row>
    <row r="181" spans="1:26" ht="15" customHeight="1">
      <c r="A181" s="17">
        <v>180</v>
      </c>
      <c r="B181" s="18" t="s">
        <v>63</v>
      </c>
      <c r="C181" s="18" t="s">
        <v>23</v>
      </c>
      <c r="D181" s="17" t="s">
        <v>230</v>
      </c>
      <c r="E181" s="17" t="s">
        <v>230</v>
      </c>
      <c r="F181" s="17" t="s">
        <v>230</v>
      </c>
      <c r="G181" s="19" t="s">
        <v>97</v>
      </c>
      <c r="H181" s="20" t="s">
        <v>0</v>
      </c>
      <c r="I181" s="18" t="s">
        <v>103</v>
      </c>
      <c r="K181" s="19" t="str">
        <f>_xlfn.XLOOKUP(L181,Values!$A$137:$A$140,Values!$B$137:$B$140)</f>
        <v>71 bis 149</v>
      </c>
      <c r="L181" s="52">
        <v>71</v>
      </c>
      <c r="M181" s="18" t="s">
        <v>104</v>
      </c>
      <c r="N181" s="61">
        <v>1</v>
      </c>
      <c r="O181" s="35">
        <f>+L181*2*10/6</f>
        <v>236.66666666666666</v>
      </c>
      <c r="P181" s="36">
        <v>17</v>
      </c>
      <c r="Q181" s="37">
        <f>+Start!$C$29</f>
        <v>14</v>
      </c>
      <c r="S181" s="42">
        <f>+O181*P181/60*Q181</f>
        <v>938.77777777777783</v>
      </c>
      <c r="T181" s="25">
        <f t="shared" si="59"/>
        <v>13.222222222222223</v>
      </c>
      <c r="U181" s="25">
        <f>+T181/Start!$C$15</f>
        <v>0.37777777777777782</v>
      </c>
      <c r="V181" s="25">
        <f>+U181/1000*Start!$C$18</f>
        <v>0.18888888888888891</v>
      </c>
      <c r="W181" s="25">
        <f t="shared" si="57"/>
        <v>0</v>
      </c>
      <c r="X181" s="25">
        <f t="shared" si="58"/>
        <v>0.94444444444444442</v>
      </c>
      <c r="Y181" s="25" t="str">
        <f>IF(I181="Strom",T181/Q181/(Start!$C$15),"")</f>
        <v/>
      </c>
      <c r="Z181" s="25" t="str">
        <f t="shared" si="52"/>
        <v/>
      </c>
    </row>
    <row r="182" spans="1:26" ht="15" customHeight="1">
      <c r="A182" s="17">
        <v>181</v>
      </c>
      <c r="B182" s="18" t="s">
        <v>63</v>
      </c>
      <c r="C182" s="18" t="s">
        <v>23</v>
      </c>
      <c r="D182" s="17" t="s">
        <v>230</v>
      </c>
      <c r="E182" s="17" t="s">
        <v>230</v>
      </c>
      <c r="F182" s="17" t="s">
        <v>230</v>
      </c>
      <c r="G182" s="19" t="s">
        <v>97</v>
      </c>
      <c r="H182" s="18" t="s">
        <v>117</v>
      </c>
      <c r="I182" s="18" t="s">
        <v>103</v>
      </c>
      <c r="K182" s="19" t="str">
        <f>_xlfn.XLOOKUP(L182,Values!$A$137:$A$140,Values!$B$137:$B$140)</f>
        <v>71 bis 149</v>
      </c>
      <c r="L182" s="52">
        <v>71</v>
      </c>
      <c r="M182" s="18" t="s">
        <v>10</v>
      </c>
      <c r="N182" s="61"/>
      <c r="O182" s="35"/>
      <c r="P182" s="37"/>
      <c r="Q182" s="43">
        <f>+Start!$C$30</f>
        <v>0.28999999999999998</v>
      </c>
      <c r="S182" s="24">
        <f>(+S181)*Q182</f>
        <v>272.24555555555554</v>
      </c>
      <c r="T182" s="25">
        <f t="shared" si="59"/>
        <v>3.8344444444444443</v>
      </c>
      <c r="U182" s="25">
        <f>+T182/Start!$C$15</f>
        <v>0.10955555555555556</v>
      </c>
      <c r="V182" s="25">
        <f>+U182/1000*Start!$C$18</f>
        <v>5.4777777777777779E-2</v>
      </c>
      <c r="W182" s="25">
        <f t="shared" si="57"/>
        <v>0</v>
      </c>
      <c r="X182" s="25" t="str">
        <f t="shared" si="58"/>
        <v/>
      </c>
      <c r="Y182" s="25" t="str">
        <f>IF(I182="Strom",T182/Q182/(Start!$C$15),"")</f>
        <v/>
      </c>
      <c r="Z182" s="25" t="str">
        <f t="shared" si="52"/>
        <v/>
      </c>
    </row>
    <row r="183" spans="1:26" ht="15" customHeight="1">
      <c r="A183" s="17">
        <v>182</v>
      </c>
      <c r="B183" s="18" t="s">
        <v>63</v>
      </c>
      <c r="C183" s="18" t="s">
        <v>23</v>
      </c>
      <c r="D183" s="17" t="s">
        <v>230</v>
      </c>
      <c r="E183" s="17" t="s">
        <v>230</v>
      </c>
      <c r="F183" s="17" t="s">
        <v>230</v>
      </c>
      <c r="G183" s="19" t="s">
        <v>84</v>
      </c>
      <c r="H183" s="20" t="s">
        <v>86</v>
      </c>
      <c r="I183" s="20" t="s">
        <v>145</v>
      </c>
      <c r="J183" s="20" t="s">
        <v>147</v>
      </c>
      <c r="K183" s="19" t="str">
        <f>_xlfn.XLOOKUP(L183,Values!$A$137:$A$140,Values!$B$137:$B$140)</f>
        <v>71 bis 149</v>
      </c>
      <c r="L183" s="52">
        <v>71</v>
      </c>
      <c r="M183" s="18" t="s">
        <v>10</v>
      </c>
      <c r="N183" s="61">
        <v>1</v>
      </c>
      <c r="O183" s="70">
        <v>0.1</v>
      </c>
      <c r="P183" s="36"/>
      <c r="Q183" s="63">
        <v>0.4</v>
      </c>
      <c r="S183" s="24">
        <f>+Q183*O183*L183*Start!$C$15</f>
        <v>99.40000000000002</v>
      </c>
      <c r="T183" s="25">
        <f t="shared" si="59"/>
        <v>1.4000000000000004</v>
      </c>
      <c r="U183" s="25">
        <f>+T183/Start!$C$15</f>
        <v>4.0000000000000008E-2</v>
      </c>
      <c r="V183" s="25">
        <f>+U183/1000*Start!$C$18</f>
        <v>2.0000000000000004E-2</v>
      </c>
      <c r="W183" s="25">
        <f t="shared" si="57"/>
        <v>0</v>
      </c>
      <c r="X183" s="25" t="str">
        <f t="shared" si="58"/>
        <v/>
      </c>
      <c r="Y183" s="25">
        <f>IF(I183="Strom",T183/Q183/(Start!$C$15),"")</f>
        <v>0.10000000000000002</v>
      </c>
      <c r="Z183" s="25" t="str">
        <f t="shared" si="52"/>
        <v/>
      </c>
    </row>
    <row r="184" spans="1:26" ht="15" customHeight="1">
      <c r="A184" s="17">
        <v>183</v>
      </c>
      <c r="B184" s="18" t="s">
        <v>63</v>
      </c>
      <c r="C184" s="18" t="s">
        <v>23</v>
      </c>
      <c r="D184" s="17" t="s">
        <v>230</v>
      </c>
      <c r="E184" s="17" t="s">
        <v>230</v>
      </c>
      <c r="F184" s="17" t="s">
        <v>230</v>
      </c>
      <c r="G184" s="19" t="s">
        <v>84</v>
      </c>
      <c r="H184" s="20" t="s">
        <v>86</v>
      </c>
      <c r="I184" s="18" t="s">
        <v>98</v>
      </c>
      <c r="J184" s="19" t="s">
        <v>100</v>
      </c>
      <c r="K184" s="19" t="str">
        <f>_xlfn.XLOOKUP(L184,Values!$A$137:$A$140,Values!$B$137:$B$140)</f>
        <v>71 bis 149</v>
      </c>
      <c r="L184" s="52">
        <v>71</v>
      </c>
      <c r="M184" s="18" t="s">
        <v>10</v>
      </c>
      <c r="N184" s="61">
        <v>3</v>
      </c>
      <c r="O184" s="71">
        <f>ROUND(+L184*Start!$C$15/14,0)</f>
        <v>178</v>
      </c>
      <c r="P184" s="48"/>
      <c r="Q184" s="30">
        <v>2.5</v>
      </c>
      <c r="S184" s="24">
        <f>+(O184*Q184)/N184</f>
        <v>148.33333333333334</v>
      </c>
      <c r="T184" s="25">
        <f t="shared" si="59"/>
        <v>2.0892018779342725</v>
      </c>
      <c r="U184" s="25">
        <f>+T184/Start!$C$15</f>
        <v>5.9691482226693501E-2</v>
      </c>
      <c r="V184" s="25">
        <f>+U184/1000*Start!$C$18</f>
        <v>2.9845741113346751E-2</v>
      </c>
      <c r="W184" s="25">
        <f t="shared" si="57"/>
        <v>0</v>
      </c>
      <c r="X184" s="25" t="str">
        <f t="shared" si="58"/>
        <v/>
      </c>
      <c r="Y184" s="25" t="str">
        <f>IF(I184="Strom",T184/Q184/(Start!$C$15),"")</f>
        <v/>
      </c>
      <c r="Z184" s="25" t="str">
        <f t="shared" si="52"/>
        <v/>
      </c>
    </row>
    <row r="185" spans="1:26" ht="15" customHeight="1">
      <c r="A185" s="17">
        <v>184</v>
      </c>
      <c r="B185" s="18" t="s">
        <v>63</v>
      </c>
      <c r="C185" s="18" t="s">
        <v>23</v>
      </c>
      <c r="D185" s="17" t="s">
        <v>230</v>
      </c>
      <c r="E185" s="17" t="s">
        <v>230</v>
      </c>
      <c r="F185" s="17" t="s">
        <v>230</v>
      </c>
      <c r="G185" s="19" t="s">
        <v>84</v>
      </c>
      <c r="H185" s="20" t="s">
        <v>86</v>
      </c>
      <c r="I185" s="18" t="s">
        <v>99</v>
      </c>
      <c r="J185" s="19" t="s">
        <v>100</v>
      </c>
      <c r="K185" s="19" t="str">
        <f>_xlfn.XLOOKUP(L185,Values!$A$137:$A$140,Values!$B$137:$B$140)</f>
        <v>71 bis 149</v>
      </c>
      <c r="L185" s="52">
        <v>71</v>
      </c>
      <c r="M185" s="18" t="s">
        <v>10</v>
      </c>
      <c r="N185" s="72"/>
      <c r="O185" s="71">
        <f>+O184/3</f>
        <v>59.333333333333336</v>
      </c>
      <c r="P185" s="48"/>
      <c r="Q185" s="30">
        <v>2.5</v>
      </c>
      <c r="S185" s="24">
        <f>+O185*Q185</f>
        <v>148.33333333333334</v>
      </c>
      <c r="T185" s="25">
        <f t="shared" si="59"/>
        <v>2.0892018779342725</v>
      </c>
      <c r="U185" s="25">
        <f>+T185/Start!$C$15</f>
        <v>5.9691482226693501E-2</v>
      </c>
      <c r="V185" s="25">
        <f>+U185/1000*Start!$C$18</f>
        <v>2.9845741113346751E-2</v>
      </c>
      <c r="W185" s="25">
        <f t="shared" si="57"/>
        <v>0</v>
      </c>
      <c r="X185" s="25" t="str">
        <f t="shared" si="58"/>
        <v/>
      </c>
      <c r="Y185" s="25" t="str">
        <f>IF(I185="Strom",T185/Q185/(Start!$C$15),"")</f>
        <v/>
      </c>
      <c r="Z185" s="25" t="str">
        <f t="shared" si="52"/>
        <v/>
      </c>
    </row>
    <row r="186" spans="1:26" ht="15" customHeight="1">
      <c r="A186" s="17">
        <v>185</v>
      </c>
      <c r="B186" s="18" t="s">
        <v>63</v>
      </c>
      <c r="C186" s="18" t="s">
        <v>23</v>
      </c>
      <c r="D186" s="17" t="s">
        <v>230</v>
      </c>
      <c r="E186" s="17" t="s">
        <v>230</v>
      </c>
      <c r="F186" s="17" t="s">
        <v>230</v>
      </c>
      <c r="G186" s="19" t="s">
        <v>97</v>
      </c>
      <c r="H186" s="20" t="s">
        <v>48</v>
      </c>
      <c r="I186" s="18" t="s">
        <v>17</v>
      </c>
      <c r="J186" s="19" t="s">
        <v>67</v>
      </c>
      <c r="K186" s="19" t="str">
        <f>_xlfn.XLOOKUP(L186,Values!$A$137:$A$140,Values!$B$137:$B$140)</f>
        <v>71 bis 149</v>
      </c>
      <c r="L186" s="52">
        <v>71</v>
      </c>
      <c r="M186" s="18" t="s">
        <v>10</v>
      </c>
      <c r="N186" s="48"/>
      <c r="O186" s="49">
        <f>SUM(R178:R185)/2</f>
        <v>4997.5</v>
      </c>
      <c r="P186" s="18"/>
      <c r="Q186" s="50">
        <v>0.03</v>
      </c>
      <c r="S186" s="24">
        <f>+O186*Q186</f>
        <v>149.92499999999998</v>
      </c>
      <c r="T186" s="25">
        <f t="shared" si="59"/>
        <v>2.1116197183098588</v>
      </c>
      <c r="U186" s="25">
        <f>+T186/Start!$C$15</f>
        <v>6.0331991951710254E-2</v>
      </c>
      <c r="V186" s="25">
        <f>+U186/1000*Start!$C$18</f>
        <v>3.0165995975855127E-2</v>
      </c>
      <c r="W186" s="25">
        <f t="shared" si="57"/>
        <v>0</v>
      </c>
      <c r="X186" s="25" t="str">
        <f t="shared" si="58"/>
        <v/>
      </c>
      <c r="Y186" s="25" t="str">
        <f>IF(I186="Strom",T186/Q186/(Start!$C$15),"")</f>
        <v/>
      </c>
      <c r="Z186" s="25" t="str">
        <f t="shared" si="52"/>
        <v/>
      </c>
    </row>
    <row r="187" spans="1:26" ht="15" customHeight="1">
      <c r="A187" s="17">
        <v>186</v>
      </c>
      <c r="B187" s="18" t="s">
        <v>63</v>
      </c>
      <c r="C187" s="18" t="s">
        <v>23</v>
      </c>
      <c r="D187" s="17" t="s">
        <v>230</v>
      </c>
      <c r="E187" s="17" t="s">
        <v>230</v>
      </c>
      <c r="F187" s="17" t="s">
        <v>230</v>
      </c>
      <c r="G187" s="19" t="s">
        <v>84</v>
      </c>
      <c r="H187" s="20" t="s">
        <v>176</v>
      </c>
      <c r="I187" s="18" t="s">
        <v>25</v>
      </c>
      <c r="J187" s="19" t="s">
        <v>52</v>
      </c>
      <c r="K187" s="19" t="str">
        <f>_xlfn.XLOOKUP(L187,Values!$A$137:$A$140,Values!$B$137:$B$140)</f>
        <v>71 bis 149</v>
      </c>
      <c r="L187" s="52">
        <v>71</v>
      </c>
      <c r="M187" s="19" t="s">
        <v>10</v>
      </c>
      <c r="O187" s="40">
        <v>3</v>
      </c>
      <c r="Q187" s="55">
        <v>30</v>
      </c>
      <c r="S187" s="24">
        <f>+(O187*Q187)</f>
        <v>90</v>
      </c>
      <c r="T187" s="25">
        <f t="shared" si="59"/>
        <v>1.267605633802817</v>
      </c>
      <c r="U187" s="25">
        <f>+T187/Start!$C$15</f>
        <v>3.6217303822937627E-2</v>
      </c>
      <c r="V187" s="25">
        <f>+U187/1000*Start!$C$18</f>
        <v>1.8108651911468814E-2</v>
      </c>
      <c r="W187" s="25">
        <f t="shared" si="57"/>
        <v>0</v>
      </c>
      <c r="X187" s="25" t="str">
        <f t="shared" si="58"/>
        <v/>
      </c>
      <c r="Y187" s="25" t="str">
        <f>IF(I187="Strom",T187/Q187/(Start!$C$15),"")</f>
        <v/>
      </c>
      <c r="Z187" s="25" t="str">
        <f t="shared" si="52"/>
        <v/>
      </c>
    </row>
    <row r="188" spans="1:26" ht="15" customHeight="1">
      <c r="A188" s="17">
        <v>187</v>
      </c>
      <c r="B188" s="18" t="s">
        <v>63</v>
      </c>
      <c r="C188" s="18" t="s">
        <v>23</v>
      </c>
      <c r="D188" s="17" t="s">
        <v>230</v>
      </c>
      <c r="E188" s="17" t="s">
        <v>230</v>
      </c>
      <c r="F188" s="17" t="s">
        <v>230</v>
      </c>
      <c r="G188" s="19" t="s">
        <v>97</v>
      </c>
      <c r="H188" s="20" t="s">
        <v>16</v>
      </c>
      <c r="I188" s="18" t="s">
        <v>16</v>
      </c>
      <c r="J188" s="19" t="s">
        <v>21</v>
      </c>
      <c r="K188" s="19" t="str">
        <f>_xlfn.XLOOKUP(L188,Values!$A$137:$A$140,Values!$B$137:$B$140)</f>
        <v>150 und mehr</v>
      </c>
      <c r="L188" s="53">
        <v>150</v>
      </c>
      <c r="M188" s="19" t="s">
        <v>10</v>
      </c>
      <c r="N188" s="44">
        <v>1</v>
      </c>
      <c r="O188" s="45">
        <v>22</v>
      </c>
      <c r="Q188" s="46">
        <f>+Start!$C$31*1.5</f>
        <v>6.9150000000000009</v>
      </c>
      <c r="S188" s="24">
        <f>+O188*Q188*12</f>
        <v>1825.5600000000004</v>
      </c>
      <c r="T188" s="25">
        <f t="shared" si="59"/>
        <v>12.170400000000003</v>
      </c>
      <c r="U188" s="25">
        <f>+T188/Start!$C$15</f>
        <v>0.34772571428571436</v>
      </c>
      <c r="V188" s="25">
        <f>+U188/1000*Start!$C$18</f>
        <v>0.17386285714285718</v>
      </c>
      <c r="W188" s="25">
        <f t="shared" si="57"/>
        <v>0</v>
      </c>
      <c r="X188" s="25" t="str">
        <f t="shared" si="58"/>
        <v/>
      </c>
      <c r="Y188" s="25" t="str">
        <f>IF(I188="Strom",T188/Q188/(Start!$C$15),"")</f>
        <v/>
      </c>
      <c r="Z188" s="25" t="str">
        <f t="shared" si="52"/>
        <v/>
      </c>
    </row>
    <row r="189" spans="1:26" ht="15" customHeight="1">
      <c r="A189" s="17">
        <v>188</v>
      </c>
      <c r="B189" s="18" t="s">
        <v>63</v>
      </c>
      <c r="C189" s="18" t="s">
        <v>23</v>
      </c>
      <c r="D189" s="17" t="s">
        <v>230</v>
      </c>
      <c r="E189" s="17" t="s">
        <v>230</v>
      </c>
      <c r="F189" s="17" t="s">
        <v>230</v>
      </c>
      <c r="G189" s="19" t="s">
        <v>97</v>
      </c>
      <c r="H189" s="20" t="s">
        <v>16</v>
      </c>
      <c r="I189" s="18" t="s">
        <v>101</v>
      </c>
      <c r="J189" s="19" t="s">
        <v>21</v>
      </c>
      <c r="K189" s="19" t="str">
        <f>_xlfn.XLOOKUP(L189,Values!$A$137:$A$140,Values!$B$137:$B$140)</f>
        <v>150 und mehr</v>
      </c>
      <c r="L189" s="53">
        <v>150</v>
      </c>
      <c r="M189" s="19" t="s">
        <v>10</v>
      </c>
      <c r="N189" s="44">
        <v>1</v>
      </c>
      <c r="O189" s="47">
        <f>+O188</f>
        <v>22</v>
      </c>
      <c r="Q189" s="46">
        <f>+Q188*0.02</f>
        <v>0.13830000000000003</v>
      </c>
      <c r="S189" s="24">
        <f>+O189*Q189*12</f>
        <v>36.511200000000009</v>
      </c>
      <c r="T189" s="25">
        <f t="shared" si="59"/>
        <v>0.24340800000000007</v>
      </c>
      <c r="U189" s="25">
        <f>+T189/Start!$C$15</f>
        <v>6.9545142857142875E-3</v>
      </c>
      <c r="V189" s="25">
        <f>+U189/1000*Start!$C$18</f>
        <v>3.4772571428571437E-3</v>
      </c>
      <c r="W189" s="25">
        <f t="shared" si="57"/>
        <v>0</v>
      </c>
      <c r="X189" s="25" t="str">
        <f t="shared" si="58"/>
        <v/>
      </c>
      <c r="Y189" s="25" t="str">
        <f>IF(I189="Strom",T189/Q189/(Start!$C$15),"")</f>
        <v/>
      </c>
      <c r="Z189" s="25" t="str">
        <f t="shared" si="52"/>
        <v/>
      </c>
    </row>
    <row r="190" spans="1:26" ht="15" customHeight="1">
      <c r="A190" s="17">
        <v>189</v>
      </c>
      <c r="B190" s="18" t="s">
        <v>63</v>
      </c>
      <c r="C190" s="18" t="s">
        <v>23</v>
      </c>
      <c r="D190" s="17" t="s">
        <v>230</v>
      </c>
      <c r="E190" s="17" t="s">
        <v>230</v>
      </c>
      <c r="F190" s="17" t="s">
        <v>230</v>
      </c>
      <c r="G190" s="19" t="s">
        <v>97</v>
      </c>
      <c r="H190" s="20" t="s">
        <v>3</v>
      </c>
      <c r="I190" s="18" t="s">
        <v>27</v>
      </c>
      <c r="K190" s="19" t="str">
        <f>_xlfn.XLOOKUP(L190,Values!$A$137:$A$140,Values!$B$137:$B$140)</f>
        <v>150 und mehr</v>
      </c>
      <c r="L190" s="53">
        <v>150</v>
      </c>
      <c r="M190" s="18" t="s">
        <v>10</v>
      </c>
      <c r="N190" s="22">
        <v>15</v>
      </c>
      <c r="O190" s="18"/>
      <c r="P190" s="18"/>
      <c r="Q190" s="69"/>
      <c r="R190" s="39">
        <v>12082</v>
      </c>
      <c r="S190" s="24">
        <f>+R190/N190</f>
        <v>805.4666666666667</v>
      </c>
      <c r="T190" s="25">
        <f t="shared" si="59"/>
        <v>5.3697777777777782</v>
      </c>
      <c r="U190" s="25">
        <f>+T190/Start!$C$15</f>
        <v>0.15342222222222224</v>
      </c>
      <c r="V190" s="25">
        <f>+U190/1000*Start!$C$18</f>
        <v>7.6711111111111119E-2</v>
      </c>
      <c r="W190" s="25">
        <f t="shared" si="57"/>
        <v>80.546666666666667</v>
      </c>
      <c r="X190" s="25" t="str">
        <f t="shared" si="58"/>
        <v/>
      </c>
      <c r="Y190" s="25" t="str">
        <f>IF(I190="Strom",T190/Q190/(Start!$C$15),"")</f>
        <v/>
      </c>
      <c r="Z190" s="25" t="str">
        <f t="shared" si="52"/>
        <v/>
      </c>
    </row>
    <row r="191" spans="1:26" ht="15" customHeight="1">
      <c r="A191" s="17">
        <v>190</v>
      </c>
      <c r="B191" s="18" t="s">
        <v>63</v>
      </c>
      <c r="C191" s="18" t="s">
        <v>23</v>
      </c>
      <c r="D191" s="17" t="s">
        <v>230</v>
      </c>
      <c r="E191" s="17" t="s">
        <v>230</v>
      </c>
      <c r="F191" s="17" t="s">
        <v>230</v>
      </c>
      <c r="G191" s="19" t="s">
        <v>97</v>
      </c>
      <c r="H191" s="20" t="s">
        <v>0</v>
      </c>
      <c r="I191" s="18" t="s">
        <v>103</v>
      </c>
      <c r="K191" s="19" t="str">
        <f>_xlfn.XLOOKUP(L191,Values!$A$137:$A$140,Values!$B$137:$B$140)</f>
        <v>150 und mehr</v>
      </c>
      <c r="L191" s="53">
        <v>150</v>
      </c>
      <c r="M191" s="18" t="s">
        <v>104</v>
      </c>
      <c r="N191" s="61">
        <v>1</v>
      </c>
      <c r="O191" s="35">
        <f>+L191*2*10/6</f>
        <v>500</v>
      </c>
      <c r="P191" s="36">
        <v>15</v>
      </c>
      <c r="Q191" s="37">
        <f>+Start!$C$29</f>
        <v>14</v>
      </c>
      <c r="S191" s="42">
        <f>+O191*P191/60*Q191</f>
        <v>1750</v>
      </c>
      <c r="T191" s="25">
        <f t="shared" si="59"/>
        <v>11.666666666666666</v>
      </c>
      <c r="U191" s="25">
        <f>+T191/Start!$C$15</f>
        <v>0.33333333333333331</v>
      </c>
      <c r="V191" s="25">
        <f>+U191/1000*Start!$C$18</f>
        <v>0.16666666666666666</v>
      </c>
      <c r="W191" s="25">
        <f t="shared" si="57"/>
        <v>0</v>
      </c>
      <c r="X191" s="25">
        <f t="shared" si="58"/>
        <v>0.83333333333333337</v>
      </c>
      <c r="Y191" s="25" t="str">
        <f>IF(I191="Strom",T191/Q191/(Start!$C$15),"")</f>
        <v/>
      </c>
      <c r="Z191" s="25" t="str">
        <f t="shared" si="52"/>
        <v/>
      </c>
    </row>
    <row r="192" spans="1:26" ht="15" customHeight="1">
      <c r="A192" s="17">
        <v>191</v>
      </c>
      <c r="B192" s="18" t="s">
        <v>63</v>
      </c>
      <c r="C192" s="18" t="s">
        <v>23</v>
      </c>
      <c r="D192" s="17" t="s">
        <v>230</v>
      </c>
      <c r="E192" s="17" t="s">
        <v>230</v>
      </c>
      <c r="F192" s="17" t="s">
        <v>230</v>
      </c>
      <c r="G192" s="19" t="s">
        <v>97</v>
      </c>
      <c r="H192" s="18" t="s">
        <v>117</v>
      </c>
      <c r="I192" s="18" t="s">
        <v>103</v>
      </c>
      <c r="K192" s="19" t="str">
        <f>_xlfn.XLOOKUP(L192,Values!$A$137:$A$140,Values!$B$137:$B$140)</f>
        <v>150 und mehr</v>
      </c>
      <c r="L192" s="53">
        <v>150</v>
      </c>
      <c r="M192" s="18" t="s">
        <v>10</v>
      </c>
      <c r="N192" s="61"/>
      <c r="O192" s="35"/>
      <c r="P192" s="37"/>
      <c r="Q192" s="43">
        <f>+Start!$C$30</f>
        <v>0.28999999999999998</v>
      </c>
      <c r="S192" s="24">
        <f>(+S191)*Q192</f>
        <v>507.49999999999994</v>
      </c>
      <c r="T192" s="25">
        <f t="shared" si="59"/>
        <v>3.3833333333333329</v>
      </c>
      <c r="U192" s="25">
        <f>+T192/Start!$C$15</f>
        <v>9.6666666666666651E-2</v>
      </c>
      <c r="V192" s="25">
        <f>+U192/1000*Start!$C$18</f>
        <v>4.8333333333333325E-2</v>
      </c>
      <c r="W192" s="25">
        <f t="shared" si="57"/>
        <v>0</v>
      </c>
      <c r="X192" s="25" t="str">
        <f t="shared" si="58"/>
        <v/>
      </c>
      <c r="Y192" s="25" t="str">
        <f>IF(I192="Strom",T192/Q192/(Start!$C$15),"")</f>
        <v/>
      </c>
      <c r="Z192" s="25" t="str">
        <f t="shared" si="52"/>
        <v/>
      </c>
    </row>
    <row r="193" spans="1:26" ht="15" customHeight="1">
      <c r="A193" s="17">
        <v>192</v>
      </c>
      <c r="B193" s="18" t="s">
        <v>63</v>
      </c>
      <c r="C193" s="18" t="s">
        <v>23</v>
      </c>
      <c r="D193" s="17" t="s">
        <v>230</v>
      </c>
      <c r="E193" s="17" t="s">
        <v>230</v>
      </c>
      <c r="F193" s="17" t="s">
        <v>230</v>
      </c>
      <c r="G193" s="19" t="s">
        <v>84</v>
      </c>
      <c r="H193" s="20" t="s">
        <v>86</v>
      </c>
      <c r="I193" s="20" t="s">
        <v>145</v>
      </c>
      <c r="J193" s="20" t="s">
        <v>147</v>
      </c>
      <c r="K193" s="19" t="str">
        <f>_xlfn.XLOOKUP(L193,Values!$A$137:$A$140,Values!$B$137:$B$140)</f>
        <v>150 und mehr</v>
      </c>
      <c r="L193" s="53">
        <v>150</v>
      </c>
      <c r="M193" s="18" t="s">
        <v>10</v>
      </c>
      <c r="N193" s="61">
        <v>1</v>
      </c>
      <c r="O193" s="70">
        <v>0.1</v>
      </c>
      <c r="P193" s="36"/>
      <c r="Q193" s="63">
        <v>0.4</v>
      </c>
      <c r="S193" s="24">
        <f>+Q193*O193*L193*Start!$C$15</f>
        <v>210.00000000000003</v>
      </c>
      <c r="T193" s="25">
        <f t="shared" si="59"/>
        <v>1.4000000000000001</v>
      </c>
      <c r="U193" s="25">
        <f>+T193/Start!$C$15</f>
        <v>0.04</v>
      </c>
      <c r="V193" s="25">
        <f>+U193/1000*Start!$C$18</f>
        <v>0.02</v>
      </c>
      <c r="W193" s="25">
        <f t="shared" si="57"/>
        <v>0</v>
      </c>
      <c r="X193" s="25" t="str">
        <f t="shared" si="58"/>
        <v/>
      </c>
      <c r="Y193" s="25">
        <f>IF(I193="Strom",T193/Q193/(Start!$C$15),"")</f>
        <v>0.1</v>
      </c>
      <c r="Z193" s="25" t="str">
        <f t="shared" si="52"/>
        <v/>
      </c>
    </row>
    <row r="194" spans="1:26" ht="15" customHeight="1">
      <c r="A194" s="17">
        <v>193</v>
      </c>
      <c r="B194" s="18" t="s">
        <v>63</v>
      </c>
      <c r="C194" s="18" t="s">
        <v>23</v>
      </c>
      <c r="D194" s="17" t="s">
        <v>230</v>
      </c>
      <c r="E194" s="17" t="s">
        <v>230</v>
      </c>
      <c r="F194" s="17" t="s">
        <v>230</v>
      </c>
      <c r="G194" s="19" t="s">
        <v>84</v>
      </c>
      <c r="H194" s="20" t="s">
        <v>86</v>
      </c>
      <c r="I194" s="18" t="s">
        <v>98</v>
      </c>
      <c r="J194" s="19" t="s">
        <v>179</v>
      </c>
      <c r="K194" s="19" t="str">
        <f>_xlfn.XLOOKUP(L194,Values!$A$137:$A$140,Values!$B$137:$B$140)</f>
        <v>150 und mehr</v>
      </c>
      <c r="L194" s="53">
        <v>150</v>
      </c>
      <c r="M194" s="18" t="s">
        <v>10</v>
      </c>
      <c r="N194" s="61">
        <v>3</v>
      </c>
      <c r="O194" s="71">
        <f>ROUND(+L194*Start!$C$15/300,0)</f>
        <v>18</v>
      </c>
      <c r="P194" s="48"/>
      <c r="Q194" s="30">
        <v>60</v>
      </c>
      <c r="S194" s="24">
        <f>+(O194*Q194)/N194</f>
        <v>360</v>
      </c>
      <c r="T194" s="25">
        <f t="shared" si="59"/>
        <v>2.4</v>
      </c>
      <c r="U194" s="25">
        <f>+T194/Start!$C$15</f>
        <v>6.8571428571428575E-2</v>
      </c>
      <c r="V194" s="25">
        <f>+U194/1000*Start!$C$18</f>
        <v>3.4285714285714287E-2</v>
      </c>
      <c r="W194" s="25">
        <f t="shared" si="57"/>
        <v>0</v>
      </c>
      <c r="X194" s="25" t="str">
        <f t="shared" si="58"/>
        <v/>
      </c>
      <c r="Y194" s="25" t="str">
        <f>IF(I194="Strom",T194/Q194/(Start!$C$15),"")</f>
        <v/>
      </c>
      <c r="Z194" s="25" t="str">
        <f t="shared" si="52"/>
        <v/>
      </c>
    </row>
    <row r="195" spans="1:26" ht="15" customHeight="1">
      <c r="A195" s="17">
        <v>194</v>
      </c>
      <c r="B195" s="18" t="s">
        <v>63</v>
      </c>
      <c r="C195" s="18" t="s">
        <v>23</v>
      </c>
      <c r="D195" s="17" t="s">
        <v>230</v>
      </c>
      <c r="E195" s="17" t="s">
        <v>230</v>
      </c>
      <c r="F195" s="17" t="s">
        <v>230</v>
      </c>
      <c r="G195" s="19" t="s">
        <v>84</v>
      </c>
      <c r="H195" s="20" t="s">
        <v>86</v>
      </c>
      <c r="J195" s="19" t="s">
        <v>179</v>
      </c>
      <c r="K195" s="19" t="str">
        <f>_xlfn.XLOOKUP(L195,Values!$A$137:$A$140,Values!$B$137:$B$140)</f>
        <v>150 und mehr</v>
      </c>
      <c r="L195" s="53">
        <v>150</v>
      </c>
      <c r="M195" s="18" t="s">
        <v>10</v>
      </c>
      <c r="N195" s="72"/>
      <c r="O195" s="71"/>
      <c r="P195" s="48"/>
      <c r="Q195" s="30"/>
      <c r="S195" s="24">
        <f>+O195*Q195</f>
        <v>0</v>
      </c>
      <c r="T195" s="25">
        <f t="shared" si="59"/>
        <v>0</v>
      </c>
      <c r="U195" s="25">
        <f>+T195/Start!$C$15</f>
        <v>0</v>
      </c>
      <c r="V195" s="25">
        <f>+U195/1000*Start!$C$18</f>
        <v>0</v>
      </c>
      <c r="W195" s="25">
        <f t="shared" si="57"/>
        <v>0</v>
      </c>
      <c r="X195" s="25" t="str">
        <f t="shared" si="58"/>
        <v/>
      </c>
      <c r="Y195" s="25" t="str">
        <f>IF(I195="Strom",T195/Q195/(Start!$C$15),"")</f>
        <v/>
      </c>
      <c r="Z195" s="25" t="str">
        <f t="shared" si="52"/>
        <v/>
      </c>
    </row>
    <row r="196" spans="1:26" ht="15" customHeight="1">
      <c r="A196" s="17">
        <v>195</v>
      </c>
      <c r="B196" s="18" t="s">
        <v>63</v>
      </c>
      <c r="C196" s="18" t="s">
        <v>23</v>
      </c>
      <c r="D196" s="17" t="s">
        <v>230</v>
      </c>
      <c r="E196" s="17" t="s">
        <v>230</v>
      </c>
      <c r="F196" s="17" t="s">
        <v>230</v>
      </c>
      <c r="G196" s="19" t="s">
        <v>97</v>
      </c>
      <c r="H196" s="20" t="s">
        <v>48</v>
      </c>
      <c r="I196" s="18" t="s">
        <v>17</v>
      </c>
      <c r="J196" s="19" t="s">
        <v>67</v>
      </c>
      <c r="K196" s="19" t="str">
        <f>_xlfn.XLOOKUP(L196,Values!$A$137:$A$140,Values!$B$137:$B$140)</f>
        <v>150 und mehr</v>
      </c>
      <c r="L196" s="53">
        <v>150</v>
      </c>
      <c r="M196" s="18" t="s">
        <v>10</v>
      </c>
      <c r="N196" s="48"/>
      <c r="O196" s="49">
        <f>SUM(R188:R195)/2</f>
        <v>6041</v>
      </c>
      <c r="P196" s="18"/>
      <c r="Q196" s="50">
        <v>0.03</v>
      </c>
      <c r="S196" s="24">
        <f>+O196*Q196</f>
        <v>181.23</v>
      </c>
      <c r="T196" s="25">
        <f t="shared" si="59"/>
        <v>1.2081999999999999</v>
      </c>
      <c r="U196" s="25">
        <f>+T196/Start!$C$15</f>
        <v>3.4519999999999995E-2</v>
      </c>
      <c r="V196" s="25">
        <f>+U196/1000*Start!$C$18</f>
        <v>1.7259999999999998E-2</v>
      </c>
      <c r="W196" s="25">
        <f t="shared" si="57"/>
        <v>0</v>
      </c>
      <c r="X196" s="25" t="str">
        <f t="shared" si="58"/>
        <v/>
      </c>
      <c r="Y196" s="25" t="str">
        <f>IF(I196="Strom",T196/Q196/(Start!$C$15),"")</f>
        <v/>
      </c>
      <c r="Z196" s="25" t="str">
        <f t="shared" si="52"/>
        <v/>
      </c>
    </row>
    <row r="197" spans="1:26" ht="15" customHeight="1">
      <c r="A197" s="17">
        <v>196</v>
      </c>
      <c r="B197" s="18" t="s">
        <v>63</v>
      </c>
      <c r="C197" s="18" t="s">
        <v>23</v>
      </c>
      <c r="D197" s="17" t="s">
        <v>230</v>
      </c>
      <c r="E197" s="17" t="s">
        <v>230</v>
      </c>
      <c r="F197" s="17" t="s">
        <v>230</v>
      </c>
      <c r="G197" s="19" t="s">
        <v>84</v>
      </c>
      <c r="H197" s="20" t="s">
        <v>176</v>
      </c>
      <c r="I197" s="18" t="s">
        <v>25</v>
      </c>
      <c r="J197" s="19" t="s">
        <v>52</v>
      </c>
      <c r="K197" s="19" t="str">
        <f>_xlfn.XLOOKUP(L197,Values!$A$137:$A$140,Values!$B$137:$B$140)</f>
        <v>150 und mehr</v>
      </c>
      <c r="L197" s="53">
        <v>150</v>
      </c>
      <c r="M197" s="19" t="s">
        <v>10</v>
      </c>
      <c r="O197" s="40">
        <v>5</v>
      </c>
      <c r="Q197" s="55">
        <v>30</v>
      </c>
      <c r="S197" s="24">
        <f>+(O197*Q197)</f>
        <v>150</v>
      </c>
      <c r="T197" s="25">
        <f t="shared" si="59"/>
        <v>1</v>
      </c>
      <c r="U197" s="25">
        <f>+T197/Start!$C$15</f>
        <v>2.8571428571428571E-2</v>
      </c>
      <c r="V197" s="25">
        <f>+U197/1000*Start!$C$18</f>
        <v>1.4285714285714285E-2</v>
      </c>
      <c r="W197" s="25">
        <f t="shared" si="57"/>
        <v>0</v>
      </c>
      <c r="X197" s="25" t="str">
        <f t="shared" si="58"/>
        <v/>
      </c>
      <c r="Y197" s="25" t="str">
        <f>IF(I197="Strom",T197/Q197/(Start!$C$15),"")</f>
        <v/>
      </c>
      <c r="Z197" s="25" t="str">
        <f t="shared" si="52"/>
        <v/>
      </c>
    </row>
    <row r="198" spans="1:26" ht="15" customHeight="1">
      <c r="A198" s="17">
        <v>197</v>
      </c>
      <c r="B198" s="18" t="s">
        <v>63</v>
      </c>
      <c r="C198" s="18" t="s">
        <v>24</v>
      </c>
      <c r="D198" s="17" t="s">
        <v>230</v>
      </c>
      <c r="E198" s="17" t="s">
        <v>230</v>
      </c>
      <c r="F198" s="17"/>
      <c r="G198" s="19" t="s">
        <v>97</v>
      </c>
      <c r="H198" s="20" t="s">
        <v>16</v>
      </c>
      <c r="I198" s="18" t="s">
        <v>16</v>
      </c>
      <c r="J198" s="19" t="s">
        <v>21</v>
      </c>
      <c r="K198" s="19" t="str">
        <f>_xlfn.XLOOKUP(L198,Values!$A$137:$A$140,Values!$B$137:$B$140)</f>
        <v>1 bis 25</v>
      </c>
      <c r="L198" s="21">
        <v>6</v>
      </c>
      <c r="M198" s="19" t="s">
        <v>10</v>
      </c>
      <c r="N198" s="44">
        <v>1</v>
      </c>
      <c r="O198" s="45">
        <f>1.2*6/2</f>
        <v>3.5999999999999996</v>
      </c>
      <c r="Q198" s="46">
        <f>+Start!$C$31*1.5</f>
        <v>6.9150000000000009</v>
      </c>
      <c r="S198" s="24">
        <f>+O198*Q198*12</f>
        <v>298.72800000000001</v>
      </c>
      <c r="T198" s="25">
        <f t="shared" si="56"/>
        <v>49.788000000000004</v>
      </c>
      <c r="U198" s="25">
        <f>+T198/Start!$C$15</f>
        <v>1.4225142857142858</v>
      </c>
      <c r="V198" s="25">
        <f>+U198/1000*Start!$C$18</f>
        <v>0.71125714285714292</v>
      </c>
      <c r="W198" s="25">
        <f t="shared" si="57"/>
        <v>0</v>
      </c>
      <c r="X198" s="25" t="str">
        <f t="shared" si="58"/>
        <v/>
      </c>
      <c r="Y198" s="25" t="str">
        <f>IF(I198="Strom",T198/Q198/(Start!$C$15),"")</f>
        <v/>
      </c>
      <c r="Z198" s="25" t="str">
        <f t="shared" si="52"/>
        <v/>
      </c>
    </row>
    <row r="199" spans="1:26" ht="15" customHeight="1">
      <c r="A199" s="17">
        <v>198</v>
      </c>
      <c r="B199" s="18" t="s">
        <v>63</v>
      </c>
      <c r="C199" s="18" t="s">
        <v>24</v>
      </c>
      <c r="D199" s="17" t="s">
        <v>230</v>
      </c>
      <c r="E199" s="17" t="s">
        <v>230</v>
      </c>
      <c r="F199" s="17"/>
      <c r="G199" s="19" t="s">
        <v>97</v>
      </c>
      <c r="H199" s="20" t="s">
        <v>16</v>
      </c>
      <c r="I199" s="18" t="s">
        <v>101</v>
      </c>
      <c r="J199" s="19" t="s">
        <v>21</v>
      </c>
      <c r="K199" s="19" t="str">
        <f>_xlfn.XLOOKUP(L199,Values!$A$137:$A$140,Values!$B$137:$B$140)</f>
        <v>1 bis 25</v>
      </c>
      <c r="L199" s="21">
        <v>6</v>
      </c>
      <c r="M199" s="19" t="s">
        <v>10</v>
      </c>
      <c r="N199" s="44">
        <v>1</v>
      </c>
      <c r="O199" s="47">
        <f>+O198</f>
        <v>3.5999999999999996</v>
      </c>
      <c r="Q199" s="46">
        <f>+Q198*0.02</f>
        <v>0.13830000000000003</v>
      </c>
      <c r="S199" s="24">
        <f>+O199*Q199*12</f>
        <v>5.9745600000000012</v>
      </c>
      <c r="T199" s="25">
        <f t="shared" si="56"/>
        <v>0.9957600000000002</v>
      </c>
      <c r="U199" s="25">
        <f>+T199/Start!$C$15</f>
        <v>2.845028571428572E-2</v>
      </c>
      <c r="V199" s="25">
        <f>+U199/1000*Start!$C$18</f>
        <v>1.422514285714286E-2</v>
      </c>
      <c r="W199" s="25">
        <f t="shared" si="57"/>
        <v>0</v>
      </c>
      <c r="X199" s="25" t="str">
        <f t="shared" si="58"/>
        <v/>
      </c>
      <c r="Y199" s="25" t="str">
        <f>IF(I199="Strom",T199/Q199/(Start!$C$15),"")</f>
        <v/>
      </c>
      <c r="Z199" s="25" t="str">
        <f t="shared" si="52"/>
        <v/>
      </c>
    </row>
    <row r="200" spans="1:26" ht="15" customHeight="1">
      <c r="A200" s="17">
        <v>199</v>
      </c>
      <c r="B200" s="18" t="s">
        <v>63</v>
      </c>
      <c r="C200" s="18" t="s">
        <v>24</v>
      </c>
      <c r="D200" s="17" t="s">
        <v>230</v>
      </c>
      <c r="E200" s="17" t="s">
        <v>230</v>
      </c>
      <c r="F200" s="17"/>
      <c r="G200" s="19" t="s">
        <v>97</v>
      </c>
      <c r="H200" s="20" t="s">
        <v>3</v>
      </c>
      <c r="I200" s="18" t="s">
        <v>26</v>
      </c>
      <c r="K200" s="19" t="str">
        <f>_xlfn.XLOOKUP(L200,Values!$A$137:$A$140,Values!$B$137:$B$140)</f>
        <v>1 bis 25</v>
      </c>
      <c r="L200" s="21">
        <v>6</v>
      </c>
      <c r="M200" s="18" t="s">
        <v>10</v>
      </c>
      <c r="N200" s="22">
        <v>15</v>
      </c>
      <c r="O200" s="18"/>
      <c r="P200" s="18"/>
      <c r="Q200" s="18"/>
      <c r="R200" s="39">
        <v>980</v>
      </c>
      <c r="S200" s="24">
        <f>+R200/N200</f>
        <v>65.333333333333329</v>
      </c>
      <c r="T200" s="25">
        <f t="shared" si="56"/>
        <v>10.888888888888888</v>
      </c>
      <c r="U200" s="25">
        <f>+T200/Start!$C$15</f>
        <v>0.31111111111111106</v>
      </c>
      <c r="V200" s="25">
        <f>+U200/1000*Start!$C$18</f>
        <v>0.15555555555555553</v>
      </c>
      <c r="W200" s="25">
        <f t="shared" si="57"/>
        <v>163.33333333333334</v>
      </c>
      <c r="X200" s="25" t="str">
        <f t="shared" si="58"/>
        <v/>
      </c>
      <c r="Y200" s="25" t="str">
        <f>IF(I200="Strom",T200/Q200/(Start!$C$15),"")</f>
        <v/>
      </c>
      <c r="Z200" s="25" t="str">
        <f t="shared" si="52"/>
        <v/>
      </c>
    </row>
    <row r="201" spans="1:26" ht="15" customHeight="1">
      <c r="A201" s="17">
        <v>200</v>
      </c>
      <c r="B201" s="18" t="s">
        <v>63</v>
      </c>
      <c r="C201" s="18" t="s">
        <v>24</v>
      </c>
      <c r="D201" s="17" t="s">
        <v>230</v>
      </c>
      <c r="E201" s="17" t="s">
        <v>230</v>
      </c>
      <c r="F201" s="17"/>
      <c r="G201" s="19" t="s">
        <v>84</v>
      </c>
      <c r="H201" s="20" t="s">
        <v>176</v>
      </c>
      <c r="I201" s="18" t="s">
        <v>70</v>
      </c>
      <c r="K201" s="19" t="str">
        <f>_xlfn.XLOOKUP(L201,Values!$A$137:$A$140,Values!$B$137:$B$140)</f>
        <v>1 bis 25</v>
      </c>
      <c r="L201" s="21">
        <v>6</v>
      </c>
      <c r="M201" s="18" t="s">
        <v>10</v>
      </c>
      <c r="N201" s="18"/>
      <c r="O201" s="73">
        <v>0.5</v>
      </c>
      <c r="P201" s="18"/>
      <c r="Q201" s="74">
        <f>142.4*0.8</f>
        <v>113.92000000000002</v>
      </c>
      <c r="S201" s="24">
        <f>+O201*Q201</f>
        <v>56.960000000000008</v>
      </c>
      <c r="T201" s="25">
        <f t="shared" si="56"/>
        <v>9.4933333333333341</v>
      </c>
      <c r="U201" s="25">
        <f>+T201/Start!$C$15</f>
        <v>0.27123809523809528</v>
      </c>
      <c r="V201" s="25">
        <f>+U201/1000*Start!$C$18</f>
        <v>0.13561904761904764</v>
      </c>
      <c r="W201" s="25">
        <f t="shared" si="57"/>
        <v>0</v>
      </c>
      <c r="X201" s="25" t="str">
        <f t="shared" si="58"/>
        <v/>
      </c>
      <c r="Y201" s="25" t="str">
        <f>IF(I201="Strom",T201/Q201/(Start!$C$15),"")</f>
        <v/>
      </c>
      <c r="Z201" s="25" t="str">
        <f t="shared" si="52"/>
        <v/>
      </c>
    </row>
    <row r="202" spans="1:26" ht="15" customHeight="1">
      <c r="A202" s="17">
        <v>201</v>
      </c>
      <c r="B202" s="18" t="s">
        <v>63</v>
      </c>
      <c r="C202" s="18" t="s">
        <v>24</v>
      </c>
      <c r="D202" s="17" t="s">
        <v>230</v>
      </c>
      <c r="E202" s="17" t="s">
        <v>230</v>
      </c>
      <c r="F202" s="17"/>
      <c r="G202" s="19" t="s">
        <v>97</v>
      </c>
      <c r="H202" s="20" t="s">
        <v>0</v>
      </c>
      <c r="I202" s="18" t="s">
        <v>105</v>
      </c>
      <c r="K202" s="19" t="str">
        <f>_xlfn.XLOOKUP(L202,Values!$A$137:$A$140,Values!$B$137:$B$140)</f>
        <v>1 bis 25</v>
      </c>
      <c r="L202" s="21">
        <v>6</v>
      </c>
      <c r="M202" s="18" t="s">
        <v>106</v>
      </c>
      <c r="N202" s="61">
        <v>1</v>
      </c>
      <c r="O202" s="35">
        <f>+L202*Start!$C$15*1000/Start!$C$18</f>
        <v>420</v>
      </c>
      <c r="P202" s="65">
        <v>2</v>
      </c>
      <c r="Q202" s="37">
        <f>+Start!$C$29</f>
        <v>14</v>
      </c>
      <c r="S202" s="24">
        <f>+O202*P202/60*Q202</f>
        <v>196</v>
      </c>
      <c r="T202" s="25">
        <f t="shared" si="56"/>
        <v>32.666666666666664</v>
      </c>
      <c r="U202" s="25">
        <f>+T202/Start!$C$15</f>
        <v>0.93333333333333324</v>
      </c>
      <c r="V202" s="25">
        <f>+U202/1000*Start!$C$18</f>
        <v>0.46666666666666662</v>
      </c>
      <c r="W202" s="25">
        <f t="shared" si="57"/>
        <v>0</v>
      </c>
      <c r="X202" s="25">
        <f t="shared" si="58"/>
        <v>2.3333333333333335</v>
      </c>
      <c r="Y202" s="25" t="str">
        <f>IF(I202="Strom",T202/Q202/(Start!$C$15),"")</f>
        <v/>
      </c>
      <c r="Z202" s="25" t="str">
        <f t="shared" si="52"/>
        <v/>
      </c>
    </row>
    <row r="203" spans="1:26" ht="15" customHeight="1">
      <c r="A203" s="17">
        <v>202</v>
      </c>
      <c r="B203" s="18" t="s">
        <v>63</v>
      </c>
      <c r="C203" s="18" t="s">
        <v>24</v>
      </c>
      <c r="D203" s="17" t="s">
        <v>230</v>
      </c>
      <c r="E203" s="17" t="s">
        <v>230</v>
      </c>
      <c r="F203" s="17"/>
      <c r="G203" s="19" t="s">
        <v>84</v>
      </c>
      <c r="H203" s="20" t="s">
        <v>86</v>
      </c>
      <c r="I203" s="20" t="s">
        <v>145</v>
      </c>
      <c r="J203" s="20" t="s">
        <v>148</v>
      </c>
      <c r="K203" s="19" t="str">
        <f>_xlfn.XLOOKUP(L203,Values!$A$137:$A$140,Values!$B$137:$B$140)</f>
        <v>1 bis 25</v>
      </c>
      <c r="L203" s="21">
        <v>6</v>
      </c>
      <c r="M203" s="18" t="s">
        <v>10</v>
      </c>
      <c r="N203" s="61">
        <v>1</v>
      </c>
      <c r="O203" s="70">
        <v>0.2</v>
      </c>
      <c r="P203" s="65"/>
      <c r="Q203" s="63">
        <v>0.4</v>
      </c>
      <c r="S203" s="24">
        <f>+Q203*O203*L203*Start!$C$15</f>
        <v>16.800000000000004</v>
      </c>
      <c r="T203" s="25">
        <f t="shared" si="56"/>
        <v>2.8000000000000007</v>
      </c>
      <c r="U203" s="25">
        <f>+T203/Start!$C$15</f>
        <v>8.0000000000000016E-2</v>
      </c>
      <c r="V203" s="25">
        <f>+U203/1000*Start!$C$18</f>
        <v>4.0000000000000008E-2</v>
      </c>
      <c r="W203" s="25">
        <f t="shared" si="57"/>
        <v>0</v>
      </c>
      <c r="X203" s="25" t="str">
        <f t="shared" si="58"/>
        <v/>
      </c>
      <c r="Y203" s="25">
        <f>IF(I203="Strom",T203/Q203/(Start!$C$15),"")</f>
        <v>0.20000000000000004</v>
      </c>
      <c r="Z203" s="25" t="str">
        <f t="shared" si="52"/>
        <v/>
      </c>
    </row>
    <row r="204" spans="1:26" ht="15" customHeight="1">
      <c r="A204" s="17">
        <v>203</v>
      </c>
      <c r="B204" s="18" t="s">
        <v>63</v>
      </c>
      <c r="C204" s="18" t="s">
        <v>24</v>
      </c>
      <c r="D204" s="17" t="s">
        <v>230</v>
      </c>
      <c r="E204" s="17" t="s">
        <v>230</v>
      </c>
      <c r="F204" s="17"/>
      <c r="G204" s="19" t="s">
        <v>84</v>
      </c>
      <c r="H204" s="20" t="s">
        <v>86</v>
      </c>
      <c r="I204" s="18" t="s">
        <v>64</v>
      </c>
      <c r="K204" s="19" t="str">
        <f>_xlfn.XLOOKUP(L204,Values!$A$137:$A$140,Values!$B$137:$B$140)</f>
        <v>1 bis 25</v>
      </c>
      <c r="L204" s="21">
        <v>6</v>
      </c>
      <c r="M204" s="18" t="s">
        <v>10</v>
      </c>
      <c r="N204" s="22">
        <v>10</v>
      </c>
      <c r="O204" s="71">
        <f>+L204*Start!$C$15*1000/Start!$C$18</f>
        <v>420</v>
      </c>
      <c r="P204" s="18"/>
      <c r="Q204" s="75">
        <f>+Start!$C$19</f>
        <v>0.51</v>
      </c>
      <c r="S204" s="24">
        <f>+(O204*Q204)/N204</f>
        <v>21.42</v>
      </c>
      <c r="T204" s="25">
        <f t="shared" si="56"/>
        <v>3.5700000000000003</v>
      </c>
      <c r="U204" s="25">
        <f>+T204/Start!$C$15</f>
        <v>0.10200000000000001</v>
      </c>
      <c r="V204" s="25">
        <f>+U204/1000*Start!$C$18</f>
        <v>5.1000000000000004E-2</v>
      </c>
      <c r="W204" s="25">
        <f t="shared" si="57"/>
        <v>0</v>
      </c>
      <c r="X204" s="25" t="str">
        <f t="shared" si="58"/>
        <v/>
      </c>
      <c r="Y204" s="25" t="str">
        <f>IF(I204="Strom",T204/Q204/(Start!$C$15),"")</f>
        <v/>
      </c>
      <c r="Z204" s="25" t="str">
        <f t="shared" si="52"/>
        <v/>
      </c>
    </row>
    <row r="205" spans="1:26" ht="15" customHeight="1">
      <c r="A205" s="17">
        <v>204</v>
      </c>
      <c r="B205" s="18" t="s">
        <v>63</v>
      </c>
      <c r="C205" s="18" t="s">
        <v>24</v>
      </c>
      <c r="D205" s="17" t="s">
        <v>230</v>
      </c>
      <c r="E205" s="17" t="s">
        <v>230</v>
      </c>
      <c r="F205" s="17"/>
      <c r="G205" s="19" t="s">
        <v>84</v>
      </c>
      <c r="H205" s="20" t="s">
        <v>86</v>
      </c>
      <c r="I205" s="18" t="s">
        <v>65</v>
      </c>
      <c r="J205" s="19" t="s">
        <v>62</v>
      </c>
      <c r="K205" s="19" t="str">
        <f>_xlfn.XLOOKUP(L205,Values!$A$137:$A$140,Values!$B$137:$B$140)</f>
        <v>1 bis 25</v>
      </c>
      <c r="L205" s="21">
        <v>6</v>
      </c>
      <c r="M205" s="18" t="s">
        <v>10</v>
      </c>
      <c r="O205" s="71">
        <f>+O204*(1-Start!$C$24)</f>
        <v>126.00000000000001</v>
      </c>
      <c r="Q205" s="75">
        <f>+Start!$C$19</f>
        <v>0.51</v>
      </c>
      <c r="S205" s="24">
        <f>+O205*Q205</f>
        <v>64.260000000000005</v>
      </c>
      <c r="T205" s="25">
        <f t="shared" si="56"/>
        <v>10.71</v>
      </c>
      <c r="U205" s="25">
        <f>+T205/Start!$C$15</f>
        <v>0.30600000000000005</v>
      </c>
      <c r="V205" s="25">
        <f>+U205/1000*Start!$C$18</f>
        <v>0.15300000000000002</v>
      </c>
      <c r="W205" s="25">
        <f t="shared" si="57"/>
        <v>0</v>
      </c>
      <c r="X205" s="25" t="str">
        <f t="shared" si="58"/>
        <v/>
      </c>
      <c r="Y205" s="25" t="str">
        <f>IF(I205="Strom",T205/Q205/(Start!$C$15),"")</f>
        <v/>
      </c>
      <c r="Z205" s="25" t="str">
        <f t="shared" si="52"/>
        <v/>
      </c>
    </row>
    <row r="206" spans="1:26" ht="15" customHeight="1">
      <c r="A206" s="17">
        <v>205</v>
      </c>
      <c r="B206" s="18" t="s">
        <v>63</v>
      </c>
      <c r="C206" s="18" t="s">
        <v>24</v>
      </c>
      <c r="D206" s="17" t="s">
        <v>230</v>
      </c>
      <c r="E206" s="17" t="s">
        <v>230</v>
      </c>
      <c r="F206" s="17"/>
      <c r="G206" s="19" t="s">
        <v>84</v>
      </c>
      <c r="H206" s="20" t="s">
        <v>86</v>
      </c>
      <c r="I206" s="18" t="s">
        <v>58</v>
      </c>
      <c r="J206" s="19" t="s">
        <v>62</v>
      </c>
      <c r="K206" s="19" t="str">
        <f>_xlfn.XLOOKUP(L206,Values!$A$137:$A$140,Values!$B$137:$B$140)</f>
        <v>1 bis 25</v>
      </c>
      <c r="L206" s="21">
        <v>6</v>
      </c>
      <c r="M206" s="18" t="s">
        <v>61</v>
      </c>
      <c r="O206" s="71">
        <v>1</v>
      </c>
      <c r="Q206" s="75">
        <f>+Start!$C$20</f>
        <v>0.13</v>
      </c>
      <c r="S206" s="24">
        <f>+L206*Start!$C$15*1000/Start!$C$18*Q206/O206</f>
        <v>54.6</v>
      </c>
      <c r="T206" s="25">
        <f t="shared" si="56"/>
        <v>9.1</v>
      </c>
      <c r="U206" s="25">
        <f>+T206/Start!$C$15</f>
        <v>0.26</v>
      </c>
      <c r="V206" s="25">
        <f>+U206/1000*Start!$C$18</f>
        <v>0.13</v>
      </c>
      <c r="W206" s="25">
        <f t="shared" si="57"/>
        <v>0</v>
      </c>
      <c r="X206" s="25" t="str">
        <f t="shared" si="58"/>
        <v/>
      </c>
      <c r="Y206" s="25" t="str">
        <f>IF(I206="Strom",T206/Q206/(Start!$C$15),"")</f>
        <v/>
      </c>
      <c r="Z206" s="25" t="str">
        <f t="shared" si="52"/>
        <v/>
      </c>
    </row>
    <row r="207" spans="1:26" ht="15" customHeight="1">
      <c r="A207" s="17">
        <v>206</v>
      </c>
      <c r="B207" s="18" t="s">
        <v>63</v>
      </c>
      <c r="C207" s="18" t="s">
        <v>24</v>
      </c>
      <c r="D207" s="17" t="s">
        <v>230</v>
      </c>
      <c r="E207" s="17" t="s">
        <v>230</v>
      </c>
      <c r="F207" s="17"/>
      <c r="G207" s="19" t="s">
        <v>84</v>
      </c>
      <c r="H207" s="20" t="s">
        <v>86</v>
      </c>
      <c r="I207" s="18" t="s">
        <v>59</v>
      </c>
      <c r="J207" s="19" t="s">
        <v>62</v>
      </c>
      <c r="K207" s="19" t="str">
        <f>_xlfn.XLOOKUP(L207,Values!$A$137:$A$140,Values!$B$137:$B$140)</f>
        <v>1 bis 25</v>
      </c>
      <c r="L207" s="21">
        <v>6</v>
      </c>
      <c r="M207" s="18" t="s">
        <v>61</v>
      </c>
      <c r="O207" s="71">
        <v>1</v>
      </c>
      <c r="Q207" s="75">
        <f>+Start!$C$21</f>
        <v>3.0333333333333334E-2</v>
      </c>
      <c r="S207" s="24">
        <f>+L207*Start!$C$15*1000/Start!$C$18*Q207/O207</f>
        <v>12.74</v>
      </c>
      <c r="T207" s="25">
        <f t="shared" si="56"/>
        <v>2.1233333333333335</v>
      </c>
      <c r="U207" s="25">
        <f>+T207/Start!$C$15</f>
        <v>6.0666666666666674E-2</v>
      </c>
      <c r="V207" s="25">
        <f>+U207/1000*Start!$C$18</f>
        <v>3.0333333333333337E-2</v>
      </c>
      <c r="W207" s="25">
        <f t="shared" si="57"/>
        <v>0</v>
      </c>
      <c r="X207" s="25" t="str">
        <f t="shared" si="58"/>
        <v/>
      </c>
      <c r="Y207" s="25" t="str">
        <f>IF(I207="Strom",T207/Q207/(Start!$C$15),"")</f>
        <v/>
      </c>
      <c r="Z207" s="25" t="str">
        <f t="shared" si="52"/>
        <v/>
      </c>
    </row>
    <row r="208" spans="1:26" ht="15" customHeight="1">
      <c r="A208" s="17">
        <v>207</v>
      </c>
      <c r="B208" s="18" t="s">
        <v>63</v>
      </c>
      <c r="C208" s="18" t="s">
        <v>24</v>
      </c>
      <c r="D208" s="17" t="s">
        <v>230</v>
      </c>
      <c r="E208" s="17" t="s">
        <v>230</v>
      </c>
      <c r="F208" s="17"/>
      <c r="G208" s="19" t="s">
        <v>84</v>
      </c>
      <c r="H208" s="20" t="s">
        <v>86</v>
      </c>
      <c r="I208" s="18" t="s">
        <v>60</v>
      </c>
      <c r="J208" s="19" t="s">
        <v>66</v>
      </c>
      <c r="K208" s="19" t="str">
        <f>_xlfn.XLOOKUP(L208,Values!$A$137:$A$140,Values!$B$137:$B$140)</f>
        <v>1 bis 25</v>
      </c>
      <c r="L208" s="21">
        <v>6</v>
      </c>
      <c r="M208" s="18" t="s">
        <v>61</v>
      </c>
      <c r="O208" s="71">
        <v>1</v>
      </c>
      <c r="Q208" s="75">
        <f>+Start!$C$22</f>
        <v>0.28687499999999999</v>
      </c>
      <c r="S208" s="24">
        <f>+L208*Start!$C$15*1000/Start!$C$18*Q208/O208</f>
        <v>120.4875</v>
      </c>
      <c r="T208" s="25">
        <f t="shared" si="56"/>
        <v>20.081250000000001</v>
      </c>
      <c r="U208" s="25">
        <f>+T208/Start!$C$15</f>
        <v>0.57374999999999998</v>
      </c>
      <c r="V208" s="25">
        <f>+U208/1000*Start!$C$18</f>
        <v>0.28687499999999999</v>
      </c>
      <c r="W208" s="25">
        <f t="shared" si="57"/>
        <v>0</v>
      </c>
      <c r="X208" s="25" t="str">
        <f t="shared" si="58"/>
        <v/>
      </c>
      <c r="Y208" s="25" t="str">
        <f>IF(I208="Strom",T208/Q208/(Start!$C$15),"")</f>
        <v/>
      </c>
      <c r="Z208" s="25" t="str">
        <f t="shared" si="52"/>
        <v/>
      </c>
    </row>
    <row r="209" spans="1:26" ht="15" customHeight="1">
      <c r="A209" s="17">
        <v>208</v>
      </c>
      <c r="B209" s="18" t="s">
        <v>63</v>
      </c>
      <c r="C209" s="18" t="s">
        <v>24</v>
      </c>
      <c r="D209" s="17" t="s">
        <v>230</v>
      </c>
      <c r="E209" s="17" t="s">
        <v>230</v>
      </c>
      <c r="F209" s="17"/>
      <c r="G209" s="19" t="s">
        <v>97</v>
      </c>
      <c r="H209" s="20" t="s">
        <v>48</v>
      </c>
      <c r="I209" s="18" t="s">
        <v>17</v>
      </c>
      <c r="J209" s="19" t="s">
        <v>67</v>
      </c>
      <c r="K209" s="19" t="str">
        <f>_xlfn.XLOOKUP(L209,Values!$A$137:$A$140,Values!$B$137:$B$140)</f>
        <v>1 bis 25</v>
      </c>
      <c r="L209" s="21">
        <v>6</v>
      </c>
      <c r="M209" s="18" t="s">
        <v>10</v>
      </c>
      <c r="N209" s="48"/>
      <c r="O209" s="49">
        <f>SUM(R198:R208)/2</f>
        <v>490</v>
      </c>
      <c r="P209" s="18"/>
      <c r="Q209" s="50">
        <v>0.03</v>
      </c>
      <c r="S209" s="24">
        <f>+O209*Q209</f>
        <v>14.7</v>
      </c>
      <c r="T209" s="25">
        <f t="shared" si="56"/>
        <v>2.4499999999999997</v>
      </c>
      <c r="U209" s="25">
        <f>+T209/Start!$C$15</f>
        <v>6.9999999999999993E-2</v>
      </c>
      <c r="V209" s="25">
        <f>+U209/1000*Start!$C$18</f>
        <v>3.4999999999999996E-2</v>
      </c>
      <c r="W209" s="25">
        <f t="shared" si="57"/>
        <v>0</v>
      </c>
      <c r="X209" s="25" t="str">
        <f t="shared" si="58"/>
        <v/>
      </c>
      <c r="Y209" s="25" t="str">
        <f>IF(I209="Strom",T209/Q209/(Start!$C$15),"")</f>
        <v/>
      </c>
      <c r="Z209" s="25" t="str">
        <f t="shared" si="52"/>
        <v/>
      </c>
    </row>
    <row r="210" spans="1:26" ht="15" customHeight="1">
      <c r="A210" s="17">
        <v>209</v>
      </c>
      <c r="B210" s="18" t="s">
        <v>63</v>
      </c>
      <c r="C210" s="18" t="s">
        <v>24</v>
      </c>
      <c r="D210" s="17" t="s">
        <v>230</v>
      </c>
      <c r="E210" s="17" t="s">
        <v>230</v>
      </c>
      <c r="F210" s="17"/>
      <c r="G210" s="19" t="s">
        <v>97</v>
      </c>
      <c r="H210" s="20" t="s">
        <v>16</v>
      </c>
      <c r="I210" s="18" t="s">
        <v>16</v>
      </c>
      <c r="J210" s="19" t="s">
        <v>21</v>
      </c>
      <c r="K210" s="19" t="str">
        <f>_xlfn.XLOOKUP(L210,Values!$A$137:$A$140,Values!$B$137:$B$140)</f>
        <v>26 bis 70</v>
      </c>
      <c r="L210" s="51">
        <v>26</v>
      </c>
      <c r="M210" s="19" t="s">
        <v>10</v>
      </c>
      <c r="N210" s="44">
        <v>1</v>
      </c>
      <c r="O210" s="45">
        <v>6</v>
      </c>
      <c r="Q210" s="46">
        <f>+Start!$C$31*1.5</f>
        <v>6.9150000000000009</v>
      </c>
      <c r="S210" s="24">
        <f>+O210*Q210*12</f>
        <v>497.88000000000011</v>
      </c>
      <c r="T210" s="25">
        <f t="shared" ref="T210:T221" si="60">+S210/L210</f>
        <v>19.149230769230773</v>
      </c>
      <c r="U210" s="25">
        <f>+T210/Start!$C$15</f>
        <v>0.54712087912087926</v>
      </c>
      <c r="V210" s="25">
        <f>+U210/1000*Start!$C$18</f>
        <v>0.27356043956043963</v>
      </c>
      <c r="W210" s="25">
        <f t="shared" si="57"/>
        <v>0</v>
      </c>
      <c r="X210" s="25" t="str">
        <f t="shared" si="58"/>
        <v/>
      </c>
      <c r="Y210" s="25" t="str">
        <f>IF(I210="Strom",T210/Q210/(Start!$C$15),"")</f>
        <v/>
      </c>
      <c r="Z210" s="25" t="str">
        <f t="shared" si="52"/>
        <v/>
      </c>
    </row>
    <row r="211" spans="1:26" ht="15" customHeight="1">
      <c r="A211" s="17">
        <v>210</v>
      </c>
      <c r="B211" s="18" t="s">
        <v>63</v>
      </c>
      <c r="C211" s="18" t="s">
        <v>24</v>
      </c>
      <c r="D211" s="17" t="s">
        <v>230</v>
      </c>
      <c r="E211" s="17" t="s">
        <v>230</v>
      </c>
      <c r="F211" s="17"/>
      <c r="G211" s="19" t="s">
        <v>97</v>
      </c>
      <c r="H211" s="20" t="s">
        <v>16</v>
      </c>
      <c r="I211" s="18" t="s">
        <v>101</v>
      </c>
      <c r="J211" s="19" t="s">
        <v>21</v>
      </c>
      <c r="K211" s="19" t="str">
        <f>_xlfn.XLOOKUP(L211,Values!$A$137:$A$140,Values!$B$137:$B$140)</f>
        <v>26 bis 70</v>
      </c>
      <c r="L211" s="51">
        <v>26</v>
      </c>
      <c r="M211" s="19" t="s">
        <v>10</v>
      </c>
      <c r="N211" s="44">
        <v>1</v>
      </c>
      <c r="O211" s="47">
        <f>+O210</f>
        <v>6</v>
      </c>
      <c r="Q211" s="46">
        <f>+Q210*0.02</f>
        <v>0.13830000000000003</v>
      </c>
      <c r="S211" s="24">
        <f>+O211*Q211*12</f>
        <v>9.9576000000000029</v>
      </c>
      <c r="T211" s="25">
        <f t="shared" si="60"/>
        <v>0.38298461538461548</v>
      </c>
      <c r="U211" s="25">
        <f>+T211/Start!$C$15</f>
        <v>1.0942417582417586E-2</v>
      </c>
      <c r="V211" s="25">
        <f>+U211/1000*Start!$C$18</f>
        <v>5.4712087912087929E-3</v>
      </c>
      <c r="W211" s="25">
        <f t="shared" si="57"/>
        <v>0</v>
      </c>
      <c r="X211" s="25" t="str">
        <f t="shared" si="58"/>
        <v/>
      </c>
      <c r="Y211" s="25" t="str">
        <f>IF(I211="Strom",T211/Q211/(Start!$C$15),"")</f>
        <v/>
      </c>
      <c r="Z211" s="25" t="str">
        <f t="shared" si="52"/>
        <v/>
      </c>
    </row>
    <row r="212" spans="1:26" ht="15" customHeight="1">
      <c r="A212" s="17">
        <v>211</v>
      </c>
      <c r="B212" s="18" t="s">
        <v>63</v>
      </c>
      <c r="C212" s="18" t="s">
        <v>24</v>
      </c>
      <c r="D212" s="17" t="s">
        <v>230</v>
      </c>
      <c r="E212" s="17" t="s">
        <v>230</v>
      </c>
      <c r="F212" s="17"/>
      <c r="G212" s="19" t="s">
        <v>97</v>
      </c>
      <c r="H212" s="20" t="s">
        <v>3</v>
      </c>
      <c r="I212" s="18" t="s">
        <v>26</v>
      </c>
      <c r="K212" s="19" t="str">
        <f>_xlfn.XLOOKUP(L212,Values!$A$137:$A$140,Values!$B$137:$B$140)</f>
        <v>26 bis 70</v>
      </c>
      <c r="L212" s="51">
        <v>26</v>
      </c>
      <c r="M212" s="18" t="s">
        <v>10</v>
      </c>
      <c r="N212" s="22">
        <v>15</v>
      </c>
      <c r="O212" s="18"/>
      <c r="P212" s="18"/>
      <c r="Q212" s="18"/>
      <c r="R212" s="39">
        <v>2535</v>
      </c>
      <c r="S212" s="24">
        <f>+R212/N212</f>
        <v>169</v>
      </c>
      <c r="T212" s="25">
        <f t="shared" si="60"/>
        <v>6.5</v>
      </c>
      <c r="U212" s="25">
        <f>+T212/Start!$C$15</f>
        <v>0.18571428571428572</v>
      </c>
      <c r="V212" s="25">
        <f>+U212/1000*Start!$C$18</f>
        <v>9.285714285714286E-2</v>
      </c>
      <c r="W212" s="25">
        <f t="shared" si="57"/>
        <v>97.5</v>
      </c>
      <c r="X212" s="25" t="str">
        <f t="shared" si="58"/>
        <v/>
      </c>
      <c r="Y212" s="25" t="str">
        <f>IF(I212="Strom",T212/Q212/(Start!$C$15),"")</f>
        <v/>
      </c>
      <c r="Z212" s="25" t="str">
        <f t="shared" si="52"/>
        <v/>
      </c>
    </row>
    <row r="213" spans="1:26" ht="15" customHeight="1">
      <c r="A213" s="17">
        <v>212</v>
      </c>
      <c r="B213" s="18" t="s">
        <v>63</v>
      </c>
      <c r="C213" s="18" t="s">
        <v>24</v>
      </c>
      <c r="D213" s="17" t="s">
        <v>230</v>
      </c>
      <c r="E213" s="17" t="s">
        <v>230</v>
      </c>
      <c r="F213" s="17"/>
      <c r="G213" s="19" t="s">
        <v>84</v>
      </c>
      <c r="H213" s="20" t="s">
        <v>176</v>
      </c>
      <c r="I213" s="18" t="s">
        <v>70</v>
      </c>
      <c r="K213" s="19" t="str">
        <f>_xlfn.XLOOKUP(L213,Values!$A$137:$A$140,Values!$B$137:$B$140)</f>
        <v>26 bis 70</v>
      </c>
      <c r="L213" s="51">
        <v>26</v>
      </c>
      <c r="M213" s="18" t="s">
        <v>10</v>
      </c>
      <c r="N213" s="18"/>
      <c r="O213" s="73">
        <v>0.5</v>
      </c>
      <c r="P213" s="18"/>
      <c r="Q213" s="74">
        <f>142.4*0.8</f>
        <v>113.92000000000002</v>
      </c>
      <c r="S213" s="24">
        <f>+O213*Q213</f>
        <v>56.960000000000008</v>
      </c>
      <c r="T213" s="25">
        <f t="shared" si="60"/>
        <v>2.1907692307692312</v>
      </c>
      <c r="U213" s="25">
        <f>+T213/Start!$C$15</f>
        <v>6.2593406593406606E-2</v>
      </c>
      <c r="V213" s="25">
        <f>+U213/1000*Start!$C$18</f>
        <v>3.1296703296703303E-2</v>
      </c>
      <c r="W213" s="25">
        <f t="shared" si="57"/>
        <v>0</v>
      </c>
      <c r="X213" s="25" t="str">
        <f t="shared" si="58"/>
        <v/>
      </c>
      <c r="Y213" s="25" t="str">
        <f>IF(I213="Strom",T213/Q213/(Start!$C$15),"")</f>
        <v/>
      </c>
      <c r="Z213" s="25" t="str">
        <f t="shared" ref="Z213:Z276" si="61">IF(H213="KFZ",U213/Q213,"")</f>
        <v/>
      </c>
    </row>
    <row r="214" spans="1:26" ht="15" customHeight="1">
      <c r="A214" s="17">
        <v>213</v>
      </c>
      <c r="B214" s="18" t="s">
        <v>63</v>
      </c>
      <c r="C214" s="18" t="s">
        <v>24</v>
      </c>
      <c r="D214" s="17" t="s">
        <v>230</v>
      </c>
      <c r="E214" s="17" t="s">
        <v>230</v>
      </c>
      <c r="F214" s="17"/>
      <c r="G214" s="19" t="s">
        <v>97</v>
      </c>
      <c r="H214" s="20" t="s">
        <v>0</v>
      </c>
      <c r="I214" s="18" t="s">
        <v>105</v>
      </c>
      <c r="K214" s="19" t="str">
        <f>_xlfn.XLOOKUP(L214,Values!$A$137:$A$140,Values!$B$137:$B$140)</f>
        <v>26 bis 70</v>
      </c>
      <c r="L214" s="51">
        <v>26</v>
      </c>
      <c r="M214" s="18" t="s">
        <v>106</v>
      </c>
      <c r="N214" s="61">
        <v>1</v>
      </c>
      <c r="O214" s="35">
        <f>+L214*Start!$C$15*1000/Start!$C$18</f>
        <v>1820</v>
      </c>
      <c r="P214" s="65">
        <v>1.5</v>
      </c>
      <c r="Q214" s="37">
        <f>+Start!$C$29</f>
        <v>14</v>
      </c>
      <c r="S214" s="24">
        <f>+O214*P214/60*Q214</f>
        <v>637</v>
      </c>
      <c r="T214" s="25">
        <f t="shared" si="60"/>
        <v>24.5</v>
      </c>
      <c r="U214" s="25">
        <f>+T214/Start!$C$15</f>
        <v>0.7</v>
      </c>
      <c r="V214" s="25">
        <f>+U214/1000*Start!$C$18</f>
        <v>0.35</v>
      </c>
      <c r="W214" s="25">
        <f t="shared" si="57"/>
        <v>0</v>
      </c>
      <c r="X214" s="25">
        <f t="shared" si="58"/>
        <v>1.75</v>
      </c>
      <c r="Y214" s="25" t="str">
        <f>IF(I214="Strom",T214/Q214/(Start!$C$15),"")</f>
        <v/>
      </c>
      <c r="Z214" s="25" t="str">
        <f t="shared" si="61"/>
        <v/>
      </c>
    </row>
    <row r="215" spans="1:26" ht="15" customHeight="1">
      <c r="A215" s="17">
        <v>214</v>
      </c>
      <c r="B215" s="18" t="s">
        <v>63</v>
      </c>
      <c r="C215" s="18" t="s">
        <v>24</v>
      </c>
      <c r="D215" s="17" t="s">
        <v>230</v>
      </c>
      <c r="E215" s="17" t="s">
        <v>230</v>
      </c>
      <c r="F215" s="17"/>
      <c r="G215" s="19" t="s">
        <v>84</v>
      </c>
      <c r="H215" s="20" t="s">
        <v>86</v>
      </c>
      <c r="I215" s="20" t="s">
        <v>145</v>
      </c>
      <c r="J215" s="20" t="s">
        <v>148</v>
      </c>
      <c r="K215" s="19" t="str">
        <f>_xlfn.XLOOKUP(L215,Values!$A$137:$A$140,Values!$B$137:$B$140)</f>
        <v>26 bis 70</v>
      </c>
      <c r="L215" s="51">
        <v>26</v>
      </c>
      <c r="M215" s="18" t="s">
        <v>10</v>
      </c>
      <c r="N215" s="61">
        <v>1</v>
      </c>
      <c r="O215" s="70">
        <v>0.2</v>
      </c>
      <c r="P215" s="65"/>
      <c r="Q215" s="63">
        <v>0.4</v>
      </c>
      <c r="S215" s="24">
        <f>+Q215*O215*L215*Start!$C$15</f>
        <v>72.800000000000011</v>
      </c>
      <c r="T215" s="25">
        <f t="shared" si="60"/>
        <v>2.8000000000000003</v>
      </c>
      <c r="U215" s="25">
        <f>+T215/Start!$C$15</f>
        <v>0.08</v>
      </c>
      <c r="V215" s="25">
        <f>+U215/1000*Start!$C$18</f>
        <v>0.04</v>
      </c>
      <c r="W215" s="25">
        <f t="shared" si="57"/>
        <v>0</v>
      </c>
      <c r="X215" s="25" t="str">
        <f t="shared" si="58"/>
        <v/>
      </c>
      <c r="Y215" s="25">
        <f>IF(I215="Strom",T215/Q215/(Start!$C$15),"")</f>
        <v>0.2</v>
      </c>
      <c r="Z215" s="25" t="str">
        <f t="shared" si="61"/>
        <v/>
      </c>
    </row>
    <row r="216" spans="1:26" ht="15" customHeight="1">
      <c r="A216" s="17">
        <v>215</v>
      </c>
      <c r="B216" s="18" t="s">
        <v>63</v>
      </c>
      <c r="C216" s="18" t="s">
        <v>24</v>
      </c>
      <c r="D216" s="17" t="s">
        <v>230</v>
      </c>
      <c r="E216" s="17" t="s">
        <v>230</v>
      </c>
      <c r="F216" s="17"/>
      <c r="G216" s="19" t="s">
        <v>84</v>
      </c>
      <c r="H216" s="20" t="s">
        <v>86</v>
      </c>
      <c r="I216" s="18" t="s">
        <v>64</v>
      </c>
      <c r="K216" s="19" t="str">
        <f>_xlfn.XLOOKUP(L216,Values!$A$137:$A$140,Values!$B$137:$B$140)</f>
        <v>26 bis 70</v>
      </c>
      <c r="L216" s="51">
        <v>26</v>
      </c>
      <c r="M216" s="18" t="s">
        <v>10</v>
      </c>
      <c r="N216" s="22">
        <v>10</v>
      </c>
      <c r="O216" s="71">
        <f>+L216*Start!$C$15*1000/Start!$C$18</f>
        <v>1820</v>
      </c>
      <c r="P216" s="18"/>
      <c r="Q216" s="75">
        <f>+Start!$C$19</f>
        <v>0.51</v>
      </c>
      <c r="S216" s="24">
        <f>+(O216*Q216)/N216</f>
        <v>92.820000000000007</v>
      </c>
      <c r="T216" s="25">
        <f t="shared" si="60"/>
        <v>3.5700000000000003</v>
      </c>
      <c r="U216" s="25">
        <f>+T216/Start!$C$15</f>
        <v>0.10200000000000001</v>
      </c>
      <c r="V216" s="25">
        <f>+U216/1000*Start!$C$18</f>
        <v>5.1000000000000004E-2</v>
      </c>
      <c r="W216" s="25">
        <f t="shared" si="57"/>
        <v>0</v>
      </c>
      <c r="X216" s="25" t="str">
        <f t="shared" si="58"/>
        <v/>
      </c>
      <c r="Y216" s="25" t="str">
        <f>IF(I216="Strom",T216/Q216/(Start!$C$15),"")</f>
        <v/>
      </c>
      <c r="Z216" s="25" t="str">
        <f t="shared" si="61"/>
        <v/>
      </c>
    </row>
    <row r="217" spans="1:26" ht="15" customHeight="1">
      <c r="A217" s="17">
        <v>216</v>
      </c>
      <c r="B217" s="18" t="s">
        <v>63</v>
      </c>
      <c r="C217" s="18" t="s">
        <v>24</v>
      </c>
      <c r="D217" s="17" t="s">
        <v>230</v>
      </c>
      <c r="E217" s="17" t="s">
        <v>230</v>
      </c>
      <c r="F217" s="17"/>
      <c r="G217" s="19" t="s">
        <v>84</v>
      </c>
      <c r="H217" s="20" t="s">
        <v>86</v>
      </c>
      <c r="I217" s="18" t="s">
        <v>65</v>
      </c>
      <c r="J217" s="19" t="s">
        <v>62</v>
      </c>
      <c r="K217" s="19" t="str">
        <f>_xlfn.XLOOKUP(L217,Values!$A$137:$A$140,Values!$B$137:$B$140)</f>
        <v>26 bis 70</v>
      </c>
      <c r="L217" s="51">
        <v>26</v>
      </c>
      <c r="M217" s="18" t="s">
        <v>10</v>
      </c>
      <c r="O217" s="71">
        <f>+O216*(1-Start!$C$24)</f>
        <v>546.00000000000011</v>
      </c>
      <c r="Q217" s="75">
        <f>+Start!$C$19</f>
        <v>0.51</v>
      </c>
      <c r="S217" s="24">
        <f>+O217*Q217</f>
        <v>278.46000000000004</v>
      </c>
      <c r="T217" s="25">
        <f t="shared" si="60"/>
        <v>10.71</v>
      </c>
      <c r="U217" s="25">
        <f>+T217/Start!$C$15</f>
        <v>0.30600000000000005</v>
      </c>
      <c r="V217" s="25">
        <f>+U217/1000*Start!$C$18</f>
        <v>0.15300000000000002</v>
      </c>
      <c r="W217" s="25">
        <f t="shared" si="57"/>
        <v>0</v>
      </c>
      <c r="X217" s="25" t="str">
        <f t="shared" si="58"/>
        <v/>
      </c>
      <c r="Y217" s="25" t="str">
        <f>IF(I217="Strom",T217/Q217/(Start!$C$15),"")</f>
        <v/>
      </c>
      <c r="Z217" s="25" t="str">
        <f t="shared" si="61"/>
        <v/>
      </c>
    </row>
    <row r="218" spans="1:26" ht="15" customHeight="1">
      <c r="A218" s="17">
        <v>217</v>
      </c>
      <c r="B218" s="18" t="s">
        <v>63</v>
      </c>
      <c r="C218" s="18" t="s">
        <v>24</v>
      </c>
      <c r="D218" s="17" t="s">
        <v>230</v>
      </c>
      <c r="E218" s="17" t="s">
        <v>230</v>
      </c>
      <c r="F218" s="17"/>
      <c r="G218" s="19" t="s">
        <v>84</v>
      </c>
      <c r="H218" s="20" t="s">
        <v>86</v>
      </c>
      <c r="I218" s="18" t="s">
        <v>58</v>
      </c>
      <c r="J218" s="19" t="s">
        <v>62</v>
      </c>
      <c r="K218" s="19" t="str">
        <f>_xlfn.XLOOKUP(L218,Values!$A$137:$A$140,Values!$B$137:$B$140)</f>
        <v>26 bis 70</v>
      </c>
      <c r="L218" s="51">
        <v>26</v>
      </c>
      <c r="M218" s="18" t="s">
        <v>61</v>
      </c>
      <c r="O218" s="71">
        <v>1</v>
      </c>
      <c r="Q218" s="75">
        <f>+Start!$C$20</f>
        <v>0.13</v>
      </c>
      <c r="S218" s="24">
        <f>+L218*Start!$C$15*1000/Start!$C$18*Q218/O218</f>
        <v>236.6</v>
      </c>
      <c r="T218" s="25">
        <f t="shared" si="60"/>
        <v>9.1</v>
      </c>
      <c r="U218" s="25">
        <f>+T218/Start!$C$15</f>
        <v>0.26</v>
      </c>
      <c r="V218" s="25">
        <f>+U218/1000*Start!$C$18</f>
        <v>0.13</v>
      </c>
      <c r="W218" s="25">
        <f t="shared" si="57"/>
        <v>0</v>
      </c>
      <c r="X218" s="25" t="str">
        <f t="shared" si="58"/>
        <v/>
      </c>
      <c r="Y218" s="25" t="str">
        <f>IF(I218="Strom",T218/Q218/(Start!$C$15),"")</f>
        <v/>
      </c>
      <c r="Z218" s="25" t="str">
        <f t="shared" si="61"/>
        <v/>
      </c>
    </row>
    <row r="219" spans="1:26" ht="15" customHeight="1">
      <c r="A219" s="17">
        <v>218</v>
      </c>
      <c r="B219" s="18" t="s">
        <v>63</v>
      </c>
      <c r="C219" s="18" t="s">
        <v>24</v>
      </c>
      <c r="D219" s="17" t="s">
        <v>230</v>
      </c>
      <c r="E219" s="17" t="s">
        <v>230</v>
      </c>
      <c r="F219" s="17"/>
      <c r="G219" s="19" t="s">
        <v>84</v>
      </c>
      <c r="H219" s="20" t="s">
        <v>86</v>
      </c>
      <c r="I219" s="18" t="s">
        <v>59</v>
      </c>
      <c r="J219" s="19" t="s">
        <v>62</v>
      </c>
      <c r="K219" s="19" t="str">
        <f>_xlfn.XLOOKUP(L219,Values!$A$137:$A$140,Values!$B$137:$B$140)</f>
        <v>26 bis 70</v>
      </c>
      <c r="L219" s="51">
        <v>26</v>
      </c>
      <c r="M219" s="18" t="s">
        <v>61</v>
      </c>
      <c r="O219" s="71">
        <v>1</v>
      </c>
      <c r="Q219" s="75">
        <f>+Start!$C$21</f>
        <v>3.0333333333333334E-2</v>
      </c>
      <c r="S219" s="24">
        <f>+L219*Start!$C$15*1000/Start!$C$18*Q219/O219</f>
        <v>55.206666666666671</v>
      </c>
      <c r="T219" s="25">
        <f t="shared" si="60"/>
        <v>2.1233333333333335</v>
      </c>
      <c r="U219" s="25">
        <f>+T219/Start!$C$15</f>
        <v>6.0666666666666674E-2</v>
      </c>
      <c r="V219" s="25">
        <f>+U219/1000*Start!$C$18</f>
        <v>3.0333333333333337E-2</v>
      </c>
      <c r="W219" s="25">
        <f t="shared" si="57"/>
        <v>0</v>
      </c>
      <c r="X219" s="25" t="str">
        <f t="shared" si="58"/>
        <v/>
      </c>
      <c r="Y219" s="25" t="str">
        <f>IF(I219="Strom",T219/Q219/(Start!$C$15),"")</f>
        <v/>
      </c>
      <c r="Z219" s="25" t="str">
        <f t="shared" si="61"/>
        <v/>
      </c>
    </row>
    <row r="220" spans="1:26" ht="15" customHeight="1">
      <c r="A220" s="17">
        <v>219</v>
      </c>
      <c r="B220" s="18" t="s">
        <v>63</v>
      </c>
      <c r="C220" s="18" t="s">
        <v>24</v>
      </c>
      <c r="D220" s="17" t="s">
        <v>230</v>
      </c>
      <c r="E220" s="17" t="s">
        <v>230</v>
      </c>
      <c r="F220" s="17"/>
      <c r="G220" s="19" t="s">
        <v>84</v>
      </c>
      <c r="H220" s="20" t="s">
        <v>86</v>
      </c>
      <c r="I220" s="18" t="s">
        <v>60</v>
      </c>
      <c r="J220" s="19" t="s">
        <v>66</v>
      </c>
      <c r="K220" s="19" t="str">
        <f>_xlfn.XLOOKUP(L220,Values!$A$137:$A$140,Values!$B$137:$B$140)</f>
        <v>26 bis 70</v>
      </c>
      <c r="L220" s="51">
        <v>26</v>
      </c>
      <c r="M220" s="18" t="s">
        <v>61</v>
      </c>
      <c r="O220" s="71">
        <v>1</v>
      </c>
      <c r="Q220" s="75">
        <f>+Start!$C$22</f>
        <v>0.28687499999999999</v>
      </c>
      <c r="S220" s="24">
        <f>+L220*Start!$C$15*1000/Start!$C$18*Q220/O220</f>
        <v>522.11249999999995</v>
      </c>
      <c r="T220" s="25">
        <f t="shared" si="60"/>
        <v>20.081249999999997</v>
      </c>
      <c r="U220" s="25">
        <f>+T220/Start!$C$15</f>
        <v>0.57374999999999987</v>
      </c>
      <c r="V220" s="25">
        <f>+U220/1000*Start!$C$18</f>
        <v>0.28687499999999994</v>
      </c>
      <c r="W220" s="25">
        <f t="shared" si="57"/>
        <v>0</v>
      </c>
      <c r="X220" s="25" t="str">
        <f t="shared" si="58"/>
        <v/>
      </c>
      <c r="Y220" s="25" t="str">
        <f>IF(I220="Strom",T220/Q220/(Start!$C$15),"")</f>
        <v/>
      </c>
      <c r="Z220" s="25" t="str">
        <f t="shared" si="61"/>
        <v/>
      </c>
    </row>
    <row r="221" spans="1:26" ht="15" customHeight="1">
      <c r="A221" s="17">
        <v>220</v>
      </c>
      <c r="B221" s="18" t="s">
        <v>63</v>
      </c>
      <c r="C221" s="18" t="s">
        <v>24</v>
      </c>
      <c r="D221" s="17" t="s">
        <v>230</v>
      </c>
      <c r="E221" s="17" t="s">
        <v>230</v>
      </c>
      <c r="F221" s="17"/>
      <c r="G221" s="19" t="s">
        <v>97</v>
      </c>
      <c r="H221" s="20" t="s">
        <v>48</v>
      </c>
      <c r="I221" s="18" t="s">
        <v>17</v>
      </c>
      <c r="J221" s="19" t="s">
        <v>67</v>
      </c>
      <c r="K221" s="19" t="str">
        <f>_xlfn.XLOOKUP(L221,Values!$A$137:$A$140,Values!$B$137:$B$140)</f>
        <v>26 bis 70</v>
      </c>
      <c r="L221" s="51">
        <v>26</v>
      </c>
      <c r="M221" s="18" t="s">
        <v>10</v>
      </c>
      <c r="N221" s="48"/>
      <c r="O221" s="49">
        <f>SUM(R210:R220)/2</f>
        <v>1267.5</v>
      </c>
      <c r="P221" s="18"/>
      <c r="Q221" s="50">
        <v>0.03</v>
      </c>
      <c r="S221" s="24">
        <f>+O221*Q221</f>
        <v>38.024999999999999</v>
      </c>
      <c r="T221" s="25">
        <f t="shared" si="60"/>
        <v>1.4624999999999999</v>
      </c>
      <c r="U221" s="25">
        <f>+T221/Start!$C$15</f>
        <v>4.178571428571428E-2</v>
      </c>
      <c r="V221" s="25">
        <f>+U221/1000*Start!$C$18</f>
        <v>2.089285714285714E-2</v>
      </c>
      <c r="W221" s="25">
        <f t="shared" si="57"/>
        <v>0</v>
      </c>
      <c r="X221" s="25" t="str">
        <f t="shared" si="58"/>
        <v/>
      </c>
      <c r="Y221" s="25" t="str">
        <f>IF(I221="Strom",T221/Q221/(Start!$C$15),"")</f>
        <v/>
      </c>
      <c r="Z221" s="25" t="str">
        <f t="shared" si="61"/>
        <v/>
      </c>
    </row>
    <row r="222" spans="1:26" ht="15" customHeight="1">
      <c r="A222" s="17">
        <v>221</v>
      </c>
      <c r="B222" s="18" t="s">
        <v>63</v>
      </c>
      <c r="C222" s="18" t="s">
        <v>24</v>
      </c>
      <c r="D222" s="17" t="s">
        <v>230</v>
      </c>
      <c r="E222" s="17" t="s">
        <v>230</v>
      </c>
      <c r="F222" s="17"/>
      <c r="G222" s="19" t="s">
        <v>97</v>
      </c>
      <c r="H222" s="20" t="s">
        <v>16</v>
      </c>
      <c r="I222" s="18" t="s">
        <v>16</v>
      </c>
      <c r="J222" s="19" t="s">
        <v>21</v>
      </c>
      <c r="K222" s="19" t="str">
        <f>_xlfn.XLOOKUP(L222,Values!$A$137:$A$140,Values!$B$137:$B$140)</f>
        <v>71 bis 149</v>
      </c>
      <c r="L222" s="52">
        <v>71</v>
      </c>
      <c r="M222" s="19" t="s">
        <v>10</v>
      </c>
      <c r="N222" s="44">
        <v>1</v>
      </c>
      <c r="O222" s="45">
        <v>35</v>
      </c>
      <c r="Q222" s="46">
        <f>+Start!$C$31*1.5</f>
        <v>6.9150000000000009</v>
      </c>
      <c r="S222" s="24">
        <f>+O222*Q222*12</f>
        <v>2904.3</v>
      </c>
      <c r="T222" s="25">
        <f t="shared" ref="T222:T233" si="62">+S222/L222</f>
        <v>40.905633802816901</v>
      </c>
      <c r="U222" s="25">
        <f>+T222/Start!$C$15</f>
        <v>1.1687323943661971</v>
      </c>
      <c r="V222" s="25">
        <f>+U222/1000*Start!$C$18</f>
        <v>0.58436619718309857</v>
      </c>
      <c r="W222" s="25">
        <f t="shared" si="57"/>
        <v>0</v>
      </c>
      <c r="X222" s="25" t="str">
        <f t="shared" si="58"/>
        <v/>
      </c>
      <c r="Y222" s="25" t="str">
        <f>IF(I222="Strom",T222/Q222/(Start!$C$15),"")</f>
        <v/>
      </c>
      <c r="Z222" s="25" t="str">
        <f t="shared" si="61"/>
        <v/>
      </c>
    </row>
    <row r="223" spans="1:26" ht="15" customHeight="1">
      <c r="A223" s="17">
        <v>222</v>
      </c>
      <c r="B223" s="18" t="s">
        <v>63</v>
      </c>
      <c r="C223" s="18" t="s">
        <v>24</v>
      </c>
      <c r="D223" s="17" t="s">
        <v>230</v>
      </c>
      <c r="E223" s="17" t="s">
        <v>230</v>
      </c>
      <c r="F223" s="17"/>
      <c r="G223" s="19" t="s">
        <v>97</v>
      </c>
      <c r="H223" s="20" t="s">
        <v>16</v>
      </c>
      <c r="I223" s="18" t="s">
        <v>101</v>
      </c>
      <c r="J223" s="19" t="s">
        <v>21</v>
      </c>
      <c r="K223" s="19" t="str">
        <f>_xlfn.XLOOKUP(L223,Values!$A$137:$A$140,Values!$B$137:$B$140)</f>
        <v>71 bis 149</v>
      </c>
      <c r="L223" s="52">
        <v>71</v>
      </c>
      <c r="M223" s="19" t="s">
        <v>10</v>
      </c>
      <c r="N223" s="44">
        <v>1</v>
      </c>
      <c r="O223" s="47">
        <f>+O222</f>
        <v>35</v>
      </c>
      <c r="Q223" s="46">
        <f>+Q222*0.02</f>
        <v>0.13830000000000003</v>
      </c>
      <c r="S223" s="24">
        <f>+O223*Q223*12</f>
        <v>58.086000000000013</v>
      </c>
      <c r="T223" s="25">
        <f t="shared" si="62"/>
        <v>0.81811267605633819</v>
      </c>
      <c r="U223" s="25">
        <f>+T223/Start!$C$15</f>
        <v>2.3374647887323949E-2</v>
      </c>
      <c r="V223" s="25">
        <f>+U223/1000*Start!$C$18</f>
        <v>1.1687323943661974E-2</v>
      </c>
      <c r="W223" s="25">
        <f t="shared" si="57"/>
        <v>0</v>
      </c>
      <c r="X223" s="25" t="str">
        <f t="shared" si="58"/>
        <v/>
      </c>
      <c r="Y223" s="25" t="str">
        <f>IF(I223="Strom",T223/Q223/(Start!$C$15),"")</f>
        <v/>
      </c>
      <c r="Z223" s="25" t="str">
        <f t="shared" si="61"/>
        <v/>
      </c>
    </row>
    <row r="224" spans="1:26" ht="15" customHeight="1">
      <c r="A224" s="17">
        <v>223</v>
      </c>
      <c r="B224" s="18" t="s">
        <v>63</v>
      </c>
      <c r="C224" s="18" t="s">
        <v>24</v>
      </c>
      <c r="D224" s="17" t="s">
        <v>230</v>
      </c>
      <c r="E224" s="17" t="s">
        <v>230</v>
      </c>
      <c r="F224" s="17"/>
      <c r="G224" s="19" t="s">
        <v>97</v>
      </c>
      <c r="H224" s="20" t="s">
        <v>3</v>
      </c>
      <c r="I224" s="18" t="s">
        <v>26</v>
      </c>
      <c r="K224" s="19" t="str">
        <f>_xlfn.XLOOKUP(L224,Values!$A$137:$A$140,Values!$B$137:$B$140)</f>
        <v>71 bis 149</v>
      </c>
      <c r="L224" s="52">
        <v>71</v>
      </c>
      <c r="M224" s="18" t="s">
        <v>10</v>
      </c>
      <c r="N224" s="22">
        <v>15</v>
      </c>
      <c r="O224" s="18"/>
      <c r="P224" s="18"/>
      <c r="Q224" s="18"/>
      <c r="R224" s="39">
        <v>10512</v>
      </c>
      <c r="S224" s="24">
        <f>+R224/N224</f>
        <v>700.8</v>
      </c>
      <c r="T224" s="25">
        <f t="shared" si="62"/>
        <v>9.8704225352112669</v>
      </c>
      <c r="U224" s="25">
        <f>+T224/Start!$C$15</f>
        <v>0.28201207243460763</v>
      </c>
      <c r="V224" s="25">
        <f>+U224/1000*Start!$C$18</f>
        <v>0.14100603621730382</v>
      </c>
      <c r="W224" s="25">
        <f t="shared" si="57"/>
        <v>148.05633802816902</v>
      </c>
      <c r="X224" s="25" t="str">
        <f t="shared" si="58"/>
        <v/>
      </c>
      <c r="Y224" s="25" t="str">
        <f>IF(I224="Strom",T224/Q224/(Start!$C$15),"")</f>
        <v/>
      </c>
      <c r="Z224" s="25" t="str">
        <f t="shared" si="61"/>
        <v/>
      </c>
    </row>
    <row r="225" spans="1:26" ht="15" customHeight="1">
      <c r="A225" s="17">
        <v>224</v>
      </c>
      <c r="B225" s="18" t="s">
        <v>63</v>
      </c>
      <c r="C225" s="18" t="s">
        <v>24</v>
      </c>
      <c r="D225" s="17" t="s">
        <v>230</v>
      </c>
      <c r="E225" s="17" t="s">
        <v>230</v>
      </c>
      <c r="F225" s="17"/>
      <c r="G225" s="19" t="s">
        <v>84</v>
      </c>
      <c r="H225" s="20" t="s">
        <v>176</v>
      </c>
      <c r="I225" s="18" t="s">
        <v>70</v>
      </c>
      <c r="K225" s="19" t="str">
        <f>_xlfn.XLOOKUP(L225,Values!$A$137:$A$140,Values!$B$137:$B$140)</f>
        <v>71 bis 149</v>
      </c>
      <c r="L225" s="52">
        <v>71</v>
      </c>
      <c r="M225" s="18" t="s">
        <v>10</v>
      </c>
      <c r="N225" s="18"/>
      <c r="O225" s="73">
        <v>0.5</v>
      </c>
      <c r="P225" s="18"/>
      <c r="Q225" s="74">
        <f>142.4*0.8</f>
        <v>113.92000000000002</v>
      </c>
      <c r="S225" s="24">
        <f>+O225*Q225</f>
        <v>56.960000000000008</v>
      </c>
      <c r="T225" s="25">
        <f t="shared" si="62"/>
        <v>0.80225352112676063</v>
      </c>
      <c r="U225" s="25">
        <f>+T225/Start!$C$15</f>
        <v>2.2921529175050304E-2</v>
      </c>
      <c r="V225" s="25">
        <f>+U225/1000*Start!$C$18</f>
        <v>1.1460764587525152E-2</v>
      </c>
      <c r="W225" s="25">
        <f t="shared" si="57"/>
        <v>0</v>
      </c>
      <c r="X225" s="25" t="str">
        <f t="shared" si="58"/>
        <v/>
      </c>
      <c r="Y225" s="25" t="str">
        <f>IF(I225="Strom",T225/Q225/(Start!$C$15),"")</f>
        <v/>
      </c>
      <c r="Z225" s="25" t="str">
        <f t="shared" si="61"/>
        <v/>
      </c>
    </row>
    <row r="226" spans="1:26" ht="15" customHeight="1">
      <c r="A226" s="17">
        <v>225</v>
      </c>
      <c r="B226" s="18" t="s">
        <v>63</v>
      </c>
      <c r="C226" s="18" t="s">
        <v>24</v>
      </c>
      <c r="D226" s="17" t="s">
        <v>230</v>
      </c>
      <c r="E226" s="17" t="s">
        <v>230</v>
      </c>
      <c r="F226" s="17"/>
      <c r="G226" s="19" t="s">
        <v>97</v>
      </c>
      <c r="H226" s="20" t="s">
        <v>0</v>
      </c>
      <c r="I226" s="18" t="s">
        <v>105</v>
      </c>
      <c r="K226" s="19" t="str">
        <f>_xlfn.XLOOKUP(L226,Values!$A$137:$A$140,Values!$B$137:$B$140)</f>
        <v>71 bis 149</v>
      </c>
      <c r="L226" s="52">
        <v>71</v>
      </c>
      <c r="M226" s="18" t="s">
        <v>106</v>
      </c>
      <c r="N226" s="61">
        <v>1</v>
      </c>
      <c r="O226" s="35">
        <f>+L226*Start!$C$15*1000/Start!$C$18</f>
        <v>4970</v>
      </c>
      <c r="P226" s="65">
        <v>1.2</v>
      </c>
      <c r="Q226" s="37">
        <f>+Start!$C$29</f>
        <v>14</v>
      </c>
      <c r="S226" s="24">
        <f>+O226*P226/60*Q226</f>
        <v>1391.6000000000001</v>
      </c>
      <c r="T226" s="25">
        <f t="shared" si="62"/>
        <v>19.600000000000001</v>
      </c>
      <c r="U226" s="25">
        <f>+T226/Start!$C$15</f>
        <v>0.56000000000000005</v>
      </c>
      <c r="V226" s="25">
        <f>+U226/1000*Start!$C$18</f>
        <v>0.28000000000000003</v>
      </c>
      <c r="W226" s="25">
        <f t="shared" si="57"/>
        <v>0</v>
      </c>
      <c r="X226" s="25">
        <f t="shared" si="58"/>
        <v>1.4000000000000001</v>
      </c>
      <c r="Y226" s="25" t="str">
        <f>IF(I226="Strom",T226/Q226/(Start!$C$15),"")</f>
        <v/>
      </c>
      <c r="Z226" s="25" t="str">
        <f t="shared" si="61"/>
        <v/>
      </c>
    </row>
    <row r="227" spans="1:26" ht="15" customHeight="1">
      <c r="A227" s="17">
        <v>226</v>
      </c>
      <c r="B227" s="18" t="s">
        <v>63</v>
      </c>
      <c r="C227" s="18" t="s">
        <v>24</v>
      </c>
      <c r="D227" s="17" t="s">
        <v>230</v>
      </c>
      <c r="E227" s="17" t="s">
        <v>230</v>
      </c>
      <c r="F227" s="17"/>
      <c r="G227" s="19" t="s">
        <v>84</v>
      </c>
      <c r="H227" s="20" t="s">
        <v>86</v>
      </c>
      <c r="I227" s="20" t="s">
        <v>145</v>
      </c>
      <c r="J227" s="20" t="s">
        <v>148</v>
      </c>
      <c r="K227" s="19" t="str">
        <f>_xlfn.XLOOKUP(L227,Values!$A$137:$A$140,Values!$B$137:$B$140)</f>
        <v>71 bis 149</v>
      </c>
      <c r="L227" s="52">
        <v>71</v>
      </c>
      <c r="M227" s="18" t="s">
        <v>10</v>
      </c>
      <c r="N227" s="61">
        <v>1</v>
      </c>
      <c r="O227" s="70">
        <v>0.2</v>
      </c>
      <c r="P227" s="65"/>
      <c r="Q227" s="63">
        <v>0.4</v>
      </c>
      <c r="S227" s="24">
        <f>+Q227*O227*L227*Start!$C$15</f>
        <v>198.80000000000004</v>
      </c>
      <c r="T227" s="25">
        <f t="shared" si="62"/>
        <v>2.8000000000000007</v>
      </c>
      <c r="U227" s="25">
        <f>+T227/Start!$C$15</f>
        <v>8.0000000000000016E-2</v>
      </c>
      <c r="V227" s="25">
        <f>+U227/1000*Start!$C$18</f>
        <v>4.0000000000000008E-2</v>
      </c>
      <c r="W227" s="25">
        <f t="shared" ref="W227:W290" si="63">+R227/L227</f>
        <v>0</v>
      </c>
      <c r="X227" s="25" t="str">
        <f t="shared" ref="X227:X290" si="64">IF(H227="Arbeit",S227/Q227/L227,"")</f>
        <v/>
      </c>
      <c r="Y227" s="25">
        <f>IF(I227="Strom",T227/Q227/(Start!$C$15),"")</f>
        <v>0.20000000000000004</v>
      </c>
      <c r="Z227" s="25" t="str">
        <f t="shared" si="61"/>
        <v/>
      </c>
    </row>
    <row r="228" spans="1:26" ht="15" customHeight="1">
      <c r="A228" s="17">
        <v>227</v>
      </c>
      <c r="B228" s="18" t="s">
        <v>63</v>
      </c>
      <c r="C228" s="18" t="s">
        <v>24</v>
      </c>
      <c r="D228" s="17" t="s">
        <v>230</v>
      </c>
      <c r="E228" s="17" t="s">
        <v>230</v>
      </c>
      <c r="F228" s="17"/>
      <c r="G228" s="19" t="s">
        <v>84</v>
      </c>
      <c r="H228" s="20" t="s">
        <v>86</v>
      </c>
      <c r="I228" s="18" t="s">
        <v>64</v>
      </c>
      <c r="K228" s="19" t="str">
        <f>_xlfn.XLOOKUP(L228,Values!$A$137:$A$140,Values!$B$137:$B$140)</f>
        <v>71 bis 149</v>
      </c>
      <c r="L228" s="52">
        <v>71</v>
      </c>
      <c r="M228" s="18" t="s">
        <v>10</v>
      </c>
      <c r="N228" s="22">
        <v>10</v>
      </c>
      <c r="O228" s="71">
        <f>+L228*Start!$C$15*1000/Start!$C$18</f>
        <v>4970</v>
      </c>
      <c r="P228" s="18"/>
      <c r="Q228" s="75">
        <f>+Start!$C$19</f>
        <v>0.51</v>
      </c>
      <c r="S228" s="24">
        <f>+(O228*Q228)/N228</f>
        <v>253.46999999999997</v>
      </c>
      <c r="T228" s="25">
        <f t="shared" si="62"/>
        <v>3.5699999999999994</v>
      </c>
      <c r="U228" s="25">
        <f>+T228/Start!$C$15</f>
        <v>0.10199999999999998</v>
      </c>
      <c r="V228" s="25">
        <f>+U228/1000*Start!$C$18</f>
        <v>5.099999999999999E-2</v>
      </c>
      <c r="W228" s="25">
        <f t="shared" si="63"/>
        <v>0</v>
      </c>
      <c r="X228" s="25" t="str">
        <f t="shared" si="64"/>
        <v/>
      </c>
      <c r="Y228" s="25" t="str">
        <f>IF(I228="Strom",T228/Q228/(Start!$C$15),"")</f>
        <v/>
      </c>
      <c r="Z228" s="25" t="str">
        <f t="shared" si="61"/>
        <v/>
      </c>
    </row>
    <row r="229" spans="1:26" ht="15" customHeight="1">
      <c r="A229" s="17">
        <v>228</v>
      </c>
      <c r="B229" s="18" t="s">
        <v>63</v>
      </c>
      <c r="C229" s="18" t="s">
        <v>24</v>
      </c>
      <c r="D229" s="17" t="s">
        <v>230</v>
      </c>
      <c r="E229" s="17" t="s">
        <v>230</v>
      </c>
      <c r="F229" s="17"/>
      <c r="G229" s="19" t="s">
        <v>84</v>
      </c>
      <c r="H229" s="20" t="s">
        <v>86</v>
      </c>
      <c r="I229" s="18" t="s">
        <v>65</v>
      </c>
      <c r="J229" s="19" t="s">
        <v>62</v>
      </c>
      <c r="K229" s="19" t="str">
        <f>_xlfn.XLOOKUP(L229,Values!$A$137:$A$140,Values!$B$137:$B$140)</f>
        <v>71 bis 149</v>
      </c>
      <c r="L229" s="52">
        <v>71</v>
      </c>
      <c r="M229" s="18" t="s">
        <v>10</v>
      </c>
      <c r="O229" s="71">
        <f>+O228*(1-Start!$C$24)</f>
        <v>1491.0000000000002</v>
      </c>
      <c r="Q229" s="75">
        <f>+Start!$C$19</f>
        <v>0.51</v>
      </c>
      <c r="S229" s="24">
        <f>+O229*Q229</f>
        <v>760.41000000000008</v>
      </c>
      <c r="T229" s="25">
        <f t="shared" si="62"/>
        <v>10.71</v>
      </c>
      <c r="U229" s="25">
        <f>+T229/Start!$C$15</f>
        <v>0.30600000000000005</v>
      </c>
      <c r="V229" s="25">
        <f>+U229/1000*Start!$C$18</f>
        <v>0.15300000000000002</v>
      </c>
      <c r="W229" s="25">
        <f t="shared" si="63"/>
        <v>0</v>
      </c>
      <c r="X229" s="25" t="str">
        <f t="shared" si="64"/>
        <v/>
      </c>
      <c r="Y229" s="25" t="str">
        <f>IF(I229="Strom",T229/Q229/(Start!$C$15),"")</f>
        <v/>
      </c>
      <c r="Z229" s="25" t="str">
        <f t="shared" si="61"/>
        <v/>
      </c>
    </row>
    <row r="230" spans="1:26" ht="15" customHeight="1">
      <c r="A230" s="17">
        <v>229</v>
      </c>
      <c r="B230" s="18" t="s">
        <v>63</v>
      </c>
      <c r="C230" s="18" t="s">
        <v>24</v>
      </c>
      <c r="D230" s="17" t="s">
        <v>230</v>
      </c>
      <c r="E230" s="17" t="s">
        <v>230</v>
      </c>
      <c r="F230" s="17"/>
      <c r="G230" s="19" t="s">
        <v>84</v>
      </c>
      <c r="H230" s="20" t="s">
        <v>86</v>
      </c>
      <c r="I230" s="18" t="s">
        <v>58</v>
      </c>
      <c r="J230" s="19" t="s">
        <v>62</v>
      </c>
      <c r="K230" s="19" t="str">
        <f>_xlfn.XLOOKUP(L230,Values!$A$137:$A$140,Values!$B$137:$B$140)</f>
        <v>71 bis 149</v>
      </c>
      <c r="L230" s="52">
        <v>71</v>
      </c>
      <c r="M230" s="18" t="s">
        <v>61</v>
      </c>
      <c r="O230" s="71">
        <v>1</v>
      </c>
      <c r="Q230" s="75">
        <f>+Start!$C$20</f>
        <v>0.13</v>
      </c>
      <c r="S230" s="24">
        <f>+L230*Start!$C$15*1000/Start!$C$18*Q230/O230</f>
        <v>646.1</v>
      </c>
      <c r="T230" s="25">
        <f t="shared" si="62"/>
        <v>9.1</v>
      </c>
      <c r="U230" s="25">
        <f>+T230/Start!$C$15</f>
        <v>0.26</v>
      </c>
      <c r="V230" s="25">
        <f>+U230/1000*Start!$C$18</f>
        <v>0.13</v>
      </c>
      <c r="W230" s="25">
        <f t="shared" si="63"/>
        <v>0</v>
      </c>
      <c r="X230" s="25" t="str">
        <f t="shared" si="64"/>
        <v/>
      </c>
      <c r="Y230" s="25" t="str">
        <f>IF(I230="Strom",T230/Q230/(Start!$C$15),"")</f>
        <v/>
      </c>
      <c r="Z230" s="25" t="str">
        <f t="shared" si="61"/>
        <v/>
      </c>
    </row>
    <row r="231" spans="1:26" ht="15" customHeight="1">
      <c r="A231" s="17">
        <v>230</v>
      </c>
      <c r="B231" s="18" t="s">
        <v>63</v>
      </c>
      <c r="C231" s="18" t="s">
        <v>24</v>
      </c>
      <c r="D231" s="17" t="s">
        <v>230</v>
      </c>
      <c r="E231" s="17" t="s">
        <v>230</v>
      </c>
      <c r="F231" s="17"/>
      <c r="G231" s="19" t="s">
        <v>84</v>
      </c>
      <c r="H231" s="20" t="s">
        <v>86</v>
      </c>
      <c r="I231" s="18" t="s">
        <v>59</v>
      </c>
      <c r="J231" s="19" t="s">
        <v>62</v>
      </c>
      <c r="K231" s="19" t="str">
        <f>_xlfn.XLOOKUP(L231,Values!$A$137:$A$140,Values!$B$137:$B$140)</f>
        <v>71 bis 149</v>
      </c>
      <c r="L231" s="52">
        <v>71</v>
      </c>
      <c r="M231" s="18" t="s">
        <v>61</v>
      </c>
      <c r="O231" s="71">
        <v>1</v>
      </c>
      <c r="Q231" s="75">
        <f>+Start!$C$21</f>
        <v>3.0333333333333334E-2</v>
      </c>
      <c r="S231" s="24">
        <f>+L231*Start!$C$15*1000/Start!$C$18*Q231/O231</f>
        <v>150.75666666666666</v>
      </c>
      <c r="T231" s="25">
        <f t="shared" si="62"/>
        <v>2.1233333333333331</v>
      </c>
      <c r="U231" s="25">
        <f>+T231/Start!$C$15</f>
        <v>6.066666666666666E-2</v>
      </c>
      <c r="V231" s="25">
        <f>+U231/1000*Start!$C$18</f>
        <v>3.033333333333333E-2</v>
      </c>
      <c r="W231" s="25">
        <f t="shared" si="63"/>
        <v>0</v>
      </c>
      <c r="X231" s="25" t="str">
        <f t="shared" si="64"/>
        <v/>
      </c>
      <c r="Y231" s="25" t="str">
        <f>IF(I231="Strom",T231/Q231/(Start!$C$15),"")</f>
        <v/>
      </c>
      <c r="Z231" s="25" t="str">
        <f t="shared" si="61"/>
        <v/>
      </c>
    </row>
    <row r="232" spans="1:26" ht="15" customHeight="1">
      <c r="A232" s="17">
        <v>231</v>
      </c>
      <c r="B232" s="18" t="s">
        <v>63</v>
      </c>
      <c r="C232" s="18" t="s">
        <v>24</v>
      </c>
      <c r="D232" s="17" t="s">
        <v>230</v>
      </c>
      <c r="E232" s="17" t="s">
        <v>230</v>
      </c>
      <c r="F232" s="17"/>
      <c r="G232" s="19" t="s">
        <v>84</v>
      </c>
      <c r="H232" s="20" t="s">
        <v>86</v>
      </c>
      <c r="I232" s="18" t="s">
        <v>60</v>
      </c>
      <c r="J232" s="19" t="s">
        <v>66</v>
      </c>
      <c r="K232" s="19" t="str">
        <f>_xlfn.XLOOKUP(L232,Values!$A$137:$A$140,Values!$B$137:$B$140)</f>
        <v>71 bis 149</v>
      </c>
      <c r="L232" s="52">
        <v>71</v>
      </c>
      <c r="M232" s="18" t="s">
        <v>61</v>
      </c>
      <c r="O232" s="71">
        <v>1</v>
      </c>
      <c r="Q232" s="75">
        <f>+Start!$C$22</f>
        <v>0.28687499999999999</v>
      </c>
      <c r="S232" s="24">
        <f>+L232*Start!$C$15*1000/Start!$C$18*Q232/O232</f>
        <v>1425.76875</v>
      </c>
      <c r="T232" s="25">
        <f t="shared" si="62"/>
        <v>20.081250000000001</v>
      </c>
      <c r="U232" s="25">
        <f>+T232/Start!$C$15</f>
        <v>0.57374999999999998</v>
      </c>
      <c r="V232" s="25">
        <f>+U232/1000*Start!$C$18</f>
        <v>0.28687499999999999</v>
      </c>
      <c r="W232" s="25">
        <f t="shared" si="63"/>
        <v>0</v>
      </c>
      <c r="X232" s="25" t="str">
        <f t="shared" si="64"/>
        <v/>
      </c>
      <c r="Y232" s="25" t="str">
        <f>IF(I232="Strom",T232/Q232/(Start!$C$15),"")</f>
        <v/>
      </c>
      <c r="Z232" s="25" t="str">
        <f t="shared" si="61"/>
        <v/>
      </c>
    </row>
    <row r="233" spans="1:26" ht="15" customHeight="1">
      <c r="A233" s="17">
        <v>232</v>
      </c>
      <c r="B233" s="18" t="s">
        <v>63</v>
      </c>
      <c r="C233" s="18" t="s">
        <v>24</v>
      </c>
      <c r="D233" s="17" t="s">
        <v>230</v>
      </c>
      <c r="E233" s="17" t="s">
        <v>230</v>
      </c>
      <c r="F233" s="17"/>
      <c r="G233" s="19" t="s">
        <v>97</v>
      </c>
      <c r="H233" s="20" t="s">
        <v>48</v>
      </c>
      <c r="I233" s="18" t="s">
        <v>17</v>
      </c>
      <c r="J233" s="19" t="s">
        <v>67</v>
      </c>
      <c r="K233" s="19" t="str">
        <f>_xlfn.XLOOKUP(L233,Values!$A$137:$A$140,Values!$B$137:$B$140)</f>
        <v>71 bis 149</v>
      </c>
      <c r="L233" s="52">
        <v>71</v>
      </c>
      <c r="M233" s="18" t="s">
        <v>10</v>
      </c>
      <c r="N233" s="48"/>
      <c r="O233" s="49">
        <f>SUM(R222:R232)/2</f>
        <v>5256</v>
      </c>
      <c r="P233" s="18"/>
      <c r="Q233" s="50">
        <v>0.03</v>
      </c>
      <c r="S233" s="24">
        <f>+O233*Q233</f>
        <v>157.68</v>
      </c>
      <c r="T233" s="25">
        <f t="shared" si="62"/>
        <v>2.2208450704225351</v>
      </c>
      <c r="U233" s="25">
        <f>+T233/Start!$C$15</f>
        <v>6.3452716297786718E-2</v>
      </c>
      <c r="V233" s="25">
        <f>+U233/1000*Start!$C$18</f>
        <v>3.1726358148893359E-2</v>
      </c>
      <c r="W233" s="25">
        <f t="shared" si="63"/>
        <v>0</v>
      </c>
      <c r="X233" s="25" t="str">
        <f t="shared" si="64"/>
        <v/>
      </c>
      <c r="Y233" s="25" t="str">
        <f>IF(I233="Strom",T233/Q233/(Start!$C$15),"")</f>
        <v/>
      </c>
      <c r="Z233" s="25" t="str">
        <f t="shared" si="61"/>
        <v/>
      </c>
    </row>
    <row r="234" spans="1:26" ht="15" customHeight="1">
      <c r="A234" s="17">
        <v>233</v>
      </c>
      <c r="B234" s="18" t="s">
        <v>63</v>
      </c>
      <c r="C234" s="18" t="s">
        <v>24</v>
      </c>
      <c r="D234" s="17" t="s">
        <v>230</v>
      </c>
      <c r="E234" s="17" t="s">
        <v>230</v>
      </c>
      <c r="F234" s="17"/>
      <c r="G234" s="19" t="s">
        <v>97</v>
      </c>
      <c r="H234" s="20" t="s">
        <v>16</v>
      </c>
      <c r="I234" s="18" t="s">
        <v>16</v>
      </c>
      <c r="J234" s="19" t="s">
        <v>21</v>
      </c>
      <c r="K234" s="19" t="str">
        <f>_xlfn.XLOOKUP(L234,Values!$A$137:$A$140,Values!$B$137:$B$140)</f>
        <v>150 und mehr</v>
      </c>
      <c r="L234" s="53">
        <v>150</v>
      </c>
      <c r="M234" s="19" t="s">
        <v>10</v>
      </c>
      <c r="N234" s="44">
        <v>1</v>
      </c>
      <c r="O234" s="45">
        <v>50</v>
      </c>
      <c r="Q234" s="46">
        <f>+Start!$C$31*1.5</f>
        <v>6.9150000000000009</v>
      </c>
      <c r="S234" s="24">
        <f>+O234*Q234*12</f>
        <v>4149.0000000000009</v>
      </c>
      <c r="T234" s="25">
        <f t="shared" ref="T234:T245" si="65">+S234/L234</f>
        <v>27.660000000000007</v>
      </c>
      <c r="U234" s="25">
        <f>+T234/Start!$C$15</f>
        <v>0.79028571428571448</v>
      </c>
      <c r="V234" s="25">
        <f>+U234/1000*Start!$C$18</f>
        <v>0.39514285714285724</v>
      </c>
      <c r="W234" s="25">
        <f t="shared" si="63"/>
        <v>0</v>
      </c>
      <c r="X234" s="25" t="str">
        <f t="shared" si="64"/>
        <v/>
      </c>
      <c r="Y234" s="25" t="str">
        <f>IF(I234="Strom",T234/Q234/(Start!$C$15),"")</f>
        <v/>
      </c>
      <c r="Z234" s="25" t="str">
        <f t="shared" si="61"/>
        <v/>
      </c>
    </row>
    <row r="235" spans="1:26" ht="15" customHeight="1">
      <c r="A235" s="17">
        <v>234</v>
      </c>
      <c r="B235" s="18" t="s">
        <v>63</v>
      </c>
      <c r="C235" s="18" t="s">
        <v>24</v>
      </c>
      <c r="D235" s="17" t="s">
        <v>230</v>
      </c>
      <c r="E235" s="17" t="s">
        <v>230</v>
      </c>
      <c r="F235" s="17"/>
      <c r="G235" s="19" t="s">
        <v>97</v>
      </c>
      <c r="H235" s="20" t="s">
        <v>16</v>
      </c>
      <c r="I235" s="18" t="s">
        <v>101</v>
      </c>
      <c r="J235" s="19" t="s">
        <v>21</v>
      </c>
      <c r="K235" s="19" t="str">
        <f>_xlfn.XLOOKUP(L235,Values!$A$137:$A$140,Values!$B$137:$B$140)</f>
        <v>150 und mehr</v>
      </c>
      <c r="L235" s="53">
        <v>150</v>
      </c>
      <c r="M235" s="19" t="s">
        <v>10</v>
      </c>
      <c r="N235" s="44">
        <v>1</v>
      </c>
      <c r="O235" s="47">
        <f>+O234</f>
        <v>50</v>
      </c>
      <c r="Q235" s="46">
        <f>+Q234*0.02</f>
        <v>0.13830000000000003</v>
      </c>
      <c r="S235" s="24">
        <f>+O235*Q235*12</f>
        <v>82.980000000000018</v>
      </c>
      <c r="T235" s="25">
        <f t="shared" si="65"/>
        <v>0.55320000000000014</v>
      </c>
      <c r="U235" s="25">
        <f>+T235/Start!$C$15</f>
        <v>1.5805714285714291E-2</v>
      </c>
      <c r="V235" s="25">
        <f>+U235/1000*Start!$C$18</f>
        <v>7.9028571428571455E-3</v>
      </c>
      <c r="W235" s="25">
        <f t="shared" si="63"/>
        <v>0</v>
      </c>
      <c r="X235" s="25" t="str">
        <f t="shared" si="64"/>
        <v/>
      </c>
      <c r="Y235" s="25" t="str">
        <f>IF(I235="Strom",T235/Q235/(Start!$C$15),"")</f>
        <v/>
      </c>
      <c r="Z235" s="25" t="str">
        <f t="shared" si="61"/>
        <v/>
      </c>
    </row>
    <row r="236" spans="1:26" ht="15" customHeight="1">
      <c r="A236" s="17">
        <v>235</v>
      </c>
      <c r="B236" s="18" t="s">
        <v>63</v>
      </c>
      <c r="C236" s="18" t="s">
        <v>24</v>
      </c>
      <c r="D236" s="17" t="s">
        <v>230</v>
      </c>
      <c r="E236" s="17" t="s">
        <v>230</v>
      </c>
      <c r="F236" s="17"/>
      <c r="G236" s="19" t="s">
        <v>97</v>
      </c>
      <c r="H236" s="20" t="s">
        <v>3</v>
      </c>
      <c r="I236" s="18" t="s">
        <v>26</v>
      </c>
      <c r="K236" s="19" t="str">
        <f>_xlfn.XLOOKUP(L236,Values!$A$137:$A$140,Values!$B$137:$B$140)</f>
        <v>150 und mehr</v>
      </c>
      <c r="L236" s="53">
        <v>150</v>
      </c>
      <c r="M236" s="18" t="s">
        <v>10</v>
      </c>
      <c r="N236" s="22">
        <v>15</v>
      </c>
      <c r="O236" s="18"/>
      <c r="P236" s="18"/>
      <c r="Q236" s="18"/>
      <c r="R236" s="39">
        <v>22714</v>
      </c>
      <c r="S236" s="24">
        <f>+R236/N236</f>
        <v>1514.2666666666667</v>
      </c>
      <c r="T236" s="25">
        <f t="shared" si="65"/>
        <v>10.095111111111111</v>
      </c>
      <c r="U236" s="25">
        <f>+T236/Start!$C$15</f>
        <v>0.28843174603174604</v>
      </c>
      <c r="V236" s="25">
        <f>+U236/1000*Start!$C$18</f>
        <v>0.14421587301587302</v>
      </c>
      <c r="W236" s="25">
        <f t="shared" si="63"/>
        <v>151.42666666666668</v>
      </c>
      <c r="X236" s="25" t="str">
        <f t="shared" si="64"/>
        <v/>
      </c>
      <c r="Y236" s="25" t="str">
        <f>IF(I236="Strom",T236/Q236/(Start!$C$15),"")</f>
        <v/>
      </c>
      <c r="Z236" s="25" t="str">
        <f t="shared" si="61"/>
        <v/>
      </c>
    </row>
    <row r="237" spans="1:26" ht="15" customHeight="1">
      <c r="A237" s="17">
        <v>236</v>
      </c>
      <c r="B237" s="18" t="s">
        <v>63</v>
      </c>
      <c r="C237" s="18" t="s">
        <v>24</v>
      </c>
      <c r="D237" s="17" t="s">
        <v>230</v>
      </c>
      <c r="E237" s="17" t="s">
        <v>230</v>
      </c>
      <c r="F237" s="17"/>
      <c r="G237" s="19" t="s">
        <v>84</v>
      </c>
      <c r="H237" s="20" t="s">
        <v>176</v>
      </c>
      <c r="I237" s="18" t="s">
        <v>70</v>
      </c>
      <c r="K237" s="19" t="str">
        <f>_xlfn.XLOOKUP(L237,Values!$A$137:$A$140,Values!$B$137:$B$140)</f>
        <v>150 und mehr</v>
      </c>
      <c r="L237" s="53">
        <v>150</v>
      </c>
      <c r="M237" s="18" t="s">
        <v>10</v>
      </c>
      <c r="N237" s="18"/>
      <c r="O237" s="73">
        <v>0.5</v>
      </c>
      <c r="P237" s="18"/>
      <c r="Q237" s="74">
        <f>142.4*0.8</f>
        <v>113.92000000000002</v>
      </c>
      <c r="S237" s="24">
        <f>+O237*Q237</f>
        <v>56.960000000000008</v>
      </c>
      <c r="T237" s="25">
        <f t="shared" si="65"/>
        <v>0.37973333333333337</v>
      </c>
      <c r="U237" s="25">
        <f>+T237/Start!$C$15</f>
        <v>1.0849523809523811E-2</v>
      </c>
      <c r="V237" s="25">
        <f>+U237/1000*Start!$C$18</f>
        <v>5.4247619047619053E-3</v>
      </c>
      <c r="W237" s="25">
        <f t="shared" si="63"/>
        <v>0</v>
      </c>
      <c r="X237" s="25" t="str">
        <f t="shared" si="64"/>
        <v/>
      </c>
      <c r="Y237" s="25" t="str">
        <f>IF(I237="Strom",T237/Q237/(Start!$C$15),"")</f>
        <v/>
      </c>
      <c r="Z237" s="25" t="str">
        <f t="shared" si="61"/>
        <v/>
      </c>
    </row>
    <row r="238" spans="1:26" ht="15" customHeight="1">
      <c r="A238" s="17">
        <v>237</v>
      </c>
      <c r="B238" s="18" t="s">
        <v>63</v>
      </c>
      <c r="C238" s="18" t="s">
        <v>24</v>
      </c>
      <c r="D238" s="17" t="s">
        <v>230</v>
      </c>
      <c r="E238" s="17" t="s">
        <v>230</v>
      </c>
      <c r="F238" s="17"/>
      <c r="G238" s="19" t="s">
        <v>97</v>
      </c>
      <c r="H238" s="20" t="s">
        <v>0</v>
      </c>
      <c r="I238" s="18" t="s">
        <v>105</v>
      </c>
      <c r="K238" s="19" t="str">
        <f>_xlfn.XLOOKUP(L238,Values!$A$137:$A$140,Values!$B$137:$B$140)</f>
        <v>150 und mehr</v>
      </c>
      <c r="L238" s="53">
        <v>150</v>
      </c>
      <c r="M238" s="18" t="s">
        <v>106</v>
      </c>
      <c r="N238" s="61">
        <v>1</v>
      </c>
      <c r="O238" s="35">
        <f>+L238*Start!$C$15*1000/Start!$C$18</f>
        <v>10500</v>
      </c>
      <c r="P238" s="65">
        <v>0.9</v>
      </c>
      <c r="Q238" s="37">
        <f>+Start!$C$29</f>
        <v>14</v>
      </c>
      <c r="S238" s="24">
        <f>+O238*P238/60*Q238</f>
        <v>2205</v>
      </c>
      <c r="T238" s="25">
        <f t="shared" si="65"/>
        <v>14.7</v>
      </c>
      <c r="U238" s="25">
        <f>+T238/Start!$C$15</f>
        <v>0.42</v>
      </c>
      <c r="V238" s="25">
        <f>+U238/1000*Start!$C$18</f>
        <v>0.21</v>
      </c>
      <c r="W238" s="25">
        <f t="shared" si="63"/>
        <v>0</v>
      </c>
      <c r="X238" s="25">
        <f t="shared" si="64"/>
        <v>1.05</v>
      </c>
      <c r="Y238" s="25" t="str">
        <f>IF(I238="Strom",T238/Q238/(Start!$C$15),"")</f>
        <v/>
      </c>
      <c r="Z238" s="25" t="str">
        <f t="shared" si="61"/>
        <v/>
      </c>
    </row>
    <row r="239" spans="1:26" ht="15" customHeight="1">
      <c r="A239" s="17">
        <v>238</v>
      </c>
      <c r="B239" s="18" t="s">
        <v>63</v>
      </c>
      <c r="C239" s="18" t="s">
        <v>24</v>
      </c>
      <c r="D239" s="17" t="s">
        <v>230</v>
      </c>
      <c r="E239" s="17" t="s">
        <v>230</v>
      </c>
      <c r="F239" s="17"/>
      <c r="G239" s="19" t="s">
        <v>84</v>
      </c>
      <c r="H239" s="20" t="s">
        <v>86</v>
      </c>
      <c r="I239" s="20" t="s">
        <v>145</v>
      </c>
      <c r="J239" s="20" t="s">
        <v>148</v>
      </c>
      <c r="K239" s="19" t="str">
        <f>_xlfn.XLOOKUP(L239,Values!$A$137:$A$140,Values!$B$137:$B$140)</f>
        <v>150 und mehr</v>
      </c>
      <c r="L239" s="53">
        <v>150</v>
      </c>
      <c r="M239" s="18" t="s">
        <v>10</v>
      </c>
      <c r="N239" s="61">
        <v>1</v>
      </c>
      <c r="O239" s="70">
        <v>0.2</v>
      </c>
      <c r="P239" s="65"/>
      <c r="Q239" s="63">
        <v>0.4</v>
      </c>
      <c r="S239" s="24">
        <f>+Q239*O239*L239*Start!$C$15</f>
        <v>420.00000000000006</v>
      </c>
      <c r="T239" s="25">
        <f t="shared" si="65"/>
        <v>2.8000000000000003</v>
      </c>
      <c r="U239" s="25">
        <f>+T239/Start!$C$15</f>
        <v>0.08</v>
      </c>
      <c r="V239" s="25">
        <f>+U239/1000*Start!$C$18</f>
        <v>0.04</v>
      </c>
      <c r="W239" s="25">
        <f t="shared" si="63"/>
        <v>0</v>
      </c>
      <c r="X239" s="25" t="str">
        <f t="shared" si="64"/>
        <v/>
      </c>
      <c r="Y239" s="25">
        <f>IF(I239="Strom",T239/Q239/(Start!$C$15),"")</f>
        <v>0.2</v>
      </c>
      <c r="Z239" s="25" t="str">
        <f t="shared" si="61"/>
        <v/>
      </c>
    </row>
    <row r="240" spans="1:26" ht="15" customHeight="1">
      <c r="A240" s="17">
        <v>239</v>
      </c>
      <c r="B240" s="18" t="s">
        <v>63</v>
      </c>
      <c r="C240" s="18" t="s">
        <v>24</v>
      </c>
      <c r="D240" s="17" t="s">
        <v>230</v>
      </c>
      <c r="E240" s="17" t="s">
        <v>230</v>
      </c>
      <c r="F240" s="17"/>
      <c r="G240" s="19" t="s">
        <v>84</v>
      </c>
      <c r="H240" s="20" t="s">
        <v>86</v>
      </c>
      <c r="I240" s="18" t="s">
        <v>64</v>
      </c>
      <c r="K240" s="19" t="str">
        <f>_xlfn.XLOOKUP(L240,Values!$A$137:$A$140,Values!$B$137:$B$140)</f>
        <v>150 und mehr</v>
      </c>
      <c r="L240" s="53">
        <v>150</v>
      </c>
      <c r="M240" s="18" t="s">
        <v>10</v>
      </c>
      <c r="N240" s="22">
        <v>10</v>
      </c>
      <c r="O240" s="71">
        <f>+L240*Start!$C$15*1000/Start!$C$18</f>
        <v>10500</v>
      </c>
      <c r="P240" s="18"/>
      <c r="Q240" s="75">
        <f>+Start!$C$19</f>
        <v>0.51</v>
      </c>
      <c r="S240" s="24">
        <f>+(O240*Q240)/N240</f>
        <v>535.5</v>
      </c>
      <c r="T240" s="25">
        <f t="shared" si="65"/>
        <v>3.57</v>
      </c>
      <c r="U240" s="25">
        <f>+T240/Start!$C$15</f>
        <v>0.10199999999999999</v>
      </c>
      <c r="V240" s="25">
        <f>+U240/1000*Start!$C$18</f>
        <v>5.0999999999999997E-2</v>
      </c>
      <c r="W240" s="25">
        <f t="shared" si="63"/>
        <v>0</v>
      </c>
      <c r="X240" s="25" t="str">
        <f t="shared" si="64"/>
        <v/>
      </c>
      <c r="Y240" s="25" t="str">
        <f>IF(I240="Strom",T240/Q240/(Start!$C$15),"")</f>
        <v/>
      </c>
      <c r="Z240" s="25" t="str">
        <f t="shared" si="61"/>
        <v/>
      </c>
    </row>
    <row r="241" spans="1:26" ht="15" customHeight="1">
      <c r="A241" s="17">
        <v>240</v>
      </c>
      <c r="B241" s="18" t="s">
        <v>63</v>
      </c>
      <c r="C241" s="18" t="s">
        <v>24</v>
      </c>
      <c r="D241" s="17" t="s">
        <v>230</v>
      </c>
      <c r="E241" s="17" t="s">
        <v>230</v>
      </c>
      <c r="F241" s="17"/>
      <c r="G241" s="19" t="s">
        <v>84</v>
      </c>
      <c r="H241" s="20" t="s">
        <v>86</v>
      </c>
      <c r="I241" s="18" t="s">
        <v>65</v>
      </c>
      <c r="J241" s="19" t="s">
        <v>62</v>
      </c>
      <c r="K241" s="19" t="str">
        <f>_xlfn.XLOOKUP(L241,Values!$A$137:$A$140,Values!$B$137:$B$140)</f>
        <v>150 und mehr</v>
      </c>
      <c r="L241" s="53">
        <v>150</v>
      </c>
      <c r="M241" s="18" t="s">
        <v>10</v>
      </c>
      <c r="O241" s="71">
        <f>+O240*(1-Start!$C$24)</f>
        <v>3150.0000000000005</v>
      </c>
      <c r="Q241" s="75">
        <f>+Start!$C$19</f>
        <v>0.51</v>
      </c>
      <c r="S241" s="24">
        <f>+O241*Q241</f>
        <v>1606.5000000000002</v>
      </c>
      <c r="T241" s="25">
        <f t="shared" si="65"/>
        <v>10.71</v>
      </c>
      <c r="U241" s="25">
        <f>+T241/Start!$C$15</f>
        <v>0.30600000000000005</v>
      </c>
      <c r="V241" s="25">
        <f>+U241/1000*Start!$C$18</f>
        <v>0.15300000000000002</v>
      </c>
      <c r="W241" s="25">
        <f t="shared" si="63"/>
        <v>0</v>
      </c>
      <c r="X241" s="25" t="str">
        <f t="shared" si="64"/>
        <v/>
      </c>
      <c r="Y241" s="25" t="str">
        <f>IF(I241="Strom",T241/Q241/(Start!$C$15),"")</f>
        <v/>
      </c>
      <c r="Z241" s="25" t="str">
        <f t="shared" si="61"/>
        <v/>
      </c>
    </row>
    <row r="242" spans="1:26" ht="15" customHeight="1">
      <c r="A242" s="17">
        <v>241</v>
      </c>
      <c r="B242" s="18" t="s">
        <v>63</v>
      </c>
      <c r="C242" s="18" t="s">
        <v>24</v>
      </c>
      <c r="D242" s="17" t="s">
        <v>230</v>
      </c>
      <c r="E242" s="17" t="s">
        <v>230</v>
      </c>
      <c r="F242" s="17"/>
      <c r="G242" s="19" t="s">
        <v>84</v>
      </c>
      <c r="H242" s="20" t="s">
        <v>86</v>
      </c>
      <c r="I242" s="18" t="s">
        <v>58</v>
      </c>
      <c r="J242" s="19" t="s">
        <v>62</v>
      </c>
      <c r="K242" s="19" t="str">
        <f>_xlfn.XLOOKUP(L242,Values!$A$137:$A$140,Values!$B$137:$B$140)</f>
        <v>150 und mehr</v>
      </c>
      <c r="L242" s="53">
        <v>150</v>
      </c>
      <c r="M242" s="18" t="s">
        <v>61</v>
      </c>
      <c r="O242" s="71">
        <v>1</v>
      </c>
      <c r="Q242" s="75">
        <f>+Start!$C$20</f>
        <v>0.13</v>
      </c>
      <c r="S242" s="24">
        <f>+L242*Start!$C$15*1000/Start!$C$18*Q242/O242</f>
        <v>1365</v>
      </c>
      <c r="T242" s="25">
        <f t="shared" si="65"/>
        <v>9.1</v>
      </c>
      <c r="U242" s="25">
        <f>+T242/Start!$C$15</f>
        <v>0.26</v>
      </c>
      <c r="V242" s="25">
        <f>+U242/1000*Start!$C$18</f>
        <v>0.13</v>
      </c>
      <c r="W242" s="25">
        <f t="shared" si="63"/>
        <v>0</v>
      </c>
      <c r="X242" s="25" t="str">
        <f t="shared" si="64"/>
        <v/>
      </c>
      <c r="Y242" s="25" t="str">
        <f>IF(I242="Strom",T242/Q242/(Start!$C$15),"")</f>
        <v/>
      </c>
      <c r="Z242" s="25" t="str">
        <f t="shared" si="61"/>
        <v/>
      </c>
    </row>
    <row r="243" spans="1:26" ht="15" customHeight="1">
      <c r="A243" s="17">
        <v>242</v>
      </c>
      <c r="B243" s="18" t="s">
        <v>63</v>
      </c>
      <c r="C243" s="18" t="s">
        <v>24</v>
      </c>
      <c r="D243" s="17" t="s">
        <v>230</v>
      </c>
      <c r="E243" s="17" t="s">
        <v>230</v>
      </c>
      <c r="F243" s="17"/>
      <c r="G243" s="19" t="s">
        <v>84</v>
      </c>
      <c r="H243" s="20" t="s">
        <v>86</v>
      </c>
      <c r="I243" s="18" t="s">
        <v>59</v>
      </c>
      <c r="J243" s="19" t="s">
        <v>62</v>
      </c>
      <c r="K243" s="19" t="str">
        <f>_xlfn.XLOOKUP(L243,Values!$A$137:$A$140,Values!$B$137:$B$140)</f>
        <v>150 und mehr</v>
      </c>
      <c r="L243" s="53">
        <v>150</v>
      </c>
      <c r="M243" s="18" t="s">
        <v>61</v>
      </c>
      <c r="O243" s="71">
        <v>1</v>
      </c>
      <c r="Q243" s="75">
        <f>+Start!$C$21</f>
        <v>3.0333333333333334E-2</v>
      </c>
      <c r="S243" s="24">
        <f>+L243*Start!$C$15*1000/Start!$C$18*Q243/O243</f>
        <v>318.5</v>
      </c>
      <c r="T243" s="25">
        <f t="shared" si="65"/>
        <v>2.1233333333333335</v>
      </c>
      <c r="U243" s="25">
        <f>+T243/Start!$C$15</f>
        <v>6.0666666666666674E-2</v>
      </c>
      <c r="V243" s="25">
        <f>+U243/1000*Start!$C$18</f>
        <v>3.0333333333333337E-2</v>
      </c>
      <c r="W243" s="25">
        <f t="shared" si="63"/>
        <v>0</v>
      </c>
      <c r="X243" s="25" t="str">
        <f t="shared" si="64"/>
        <v/>
      </c>
      <c r="Y243" s="25" t="str">
        <f>IF(I243="Strom",T243/Q243/(Start!$C$15),"")</f>
        <v/>
      </c>
      <c r="Z243" s="25" t="str">
        <f t="shared" si="61"/>
        <v/>
      </c>
    </row>
    <row r="244" spans="1:26" ht="15" customHeight="1">
      <c r="A244" s="17">
        <v>243</v>
      </c>
      <c r="B244" s="18" t="s">
        <v>63</v>
      </c>
      <c r="C244" s="18" t="s">
        <v>24</v>
      </c>
      <c r="D244" s="17" t="s">
        <v>230</v>
      </c>
      <c r="E244" s="17" t="s">
        <v>230</v>
      </c>
      <c r="F244" s="17"/>
      <c r="G244" s="19" t="s">
        <v>84</v>
      </c>
      <c r="H244" s="20" t="s">
        <v>86</v>
      </c>
      <c r="I244" s="18" t="s">
        <v>60</v>
      </c>
      <c r="J244" s="19" t="s">
        <v>66</v>
      </c>
      <c r="K244" s="19" t="str">
        <f>_xlfn.XLOOKUP(L244,Values!$A$137:$A$140,Values!$B$137:$B$140)</f>
        <v>150 und mehr</v>
      </c>
      <c r="L244" s="53">
        <v>150</v>
      </c>
      <c r="M244" s="18" t="s">
        <v>61</v>
      </c>
      <c r="O244" s="71">
        <v>1</v>
      </c>
      <c r="Q244" s="75">
        <f>+Start!$C$22</f>
        <v>0.28687499999999999</v>
      </c>
      <c r="S244" s="24">
        <f>+L244*Start!$C$15*1000/Start!$C$18*Q244/O244</f>
        <v>3012.1875</v>
      </c>
      <c r="T244" s="25">
        <f t="shared" si="65"/>
        <v>20.081250000000001</v>
      </c>
      <c r="U244" s="25">
        <f>+T244/Start!$C$15</f>
        <v>0.57374999999999998</v>
      </c>
      <c r="V244" s="25">
        <f>+U244/1000*Start!$C$18</f>
        <v>0.28687499999999999</v>
      </c>
      <c r="W244" s="25">
        <f t="shared" si="63"/>
        <v>0</v>
      </c>
      <c r="X244" s="25" t="str">
        <f t="shared" si="64"/>
        <v/>
      </c>
      <c r="Y244" s="25" t="str">
        <f>IF(I244="Strom",T244/Q244/(Start!$C$15),"")</f>
        <v/>
      </c>
      <c r="Z244" s="25" t="str">
        <f t="shared" si="61"/>
        <v/>
      </c>
    </row>
    <row r="245" spans="1:26" ht="15" customHeight="1">
      <c r="A245" s="17">
        <v>244</v>
      </c>
      <c r="B245" s="18" t="s">
        <v>63</v>
      </c>
      <c r="C245" s="18" t="s">
        <v>24</v>
      </c>
      <c r="D245" s="17" t="s">
        <v>230</v>
      </c>
      <c r="E245" s="17" t="s">
        <v>230</v>
      </c>
      <c r="F245" s="17"/>
      <c r="G245" s="19" t="s">
        <v>97</v>
      </c>
      <c r="H245" s="20" t="s">
        <v>48</v>
      </c>
      <c r="I245" s="18" t="s">
        <v>17</v>
      </c>
      <c r="J245" s="19" t="s">
        <v>67</v>
      </c>
      <c r="K245" s="19" t="str">
        <f>_xlfn.XLOOKUP(L245,Values!$A$137:$A$140,Values!$B$137:$B$140)</f>
        <v>150 und mehr</v>
      </c>
      <c r="L245" s="53">
        <v>150</v>
      </c>
      <c r="M245" s="18" t="s">
        <v>10</v>
      </c>
      <c r="N245" s="48"/>
      <c r="O245" s="49">
        <f>SUM(R234:R244)/2</f>
        <v>11357</v>
      </c>
      <c r="P245" s="18"/>
      <c r="Q245" s="50">
        <v>0.03</v>
      </c>
      <c r="S245" s="24">
        <f>+O245*Q245</f>
        <v>340.71</v>
      </c>
      <c r="T245" s="25">
        <f t="shared" si="65"/>
        <v>2.2713999999999999</v>
      </c>
      <c r="U245" s="25">
        <f>+T245/Start!$C$15</f>
        <v>6.4897142857142848E-2</v>
      </c>
      <c r="V245" s="25">
        <f>+U245/1000*Start!$C$18</f>
        <v>3.2448571428571424E-2</v>
      </c>
      <c r="W245" s="25">
        <f t="shared" si="63"/>
        <v>0</v>
      </c>
      <c r="X245" s="25" t="str">
        <f t="shared" si="64"/>
        <v/>
      </c>
      <c r="Y245" s="25" t="str">
        <f>IF(I245="Strom",T245/Q245/(Start!$C$15),"")</f>
        <v/>
      </c>
      <c r="Z245" s="25" t="str">
        <f t="shared" si="61"/>
        <v/>
      </c>
    </row>
    <row r="246" spans="1:26" ht="15" customHeight="1">
      <c r="A246" s="17">
        <v>245</v>
      </c>
      <c r="B246" s="18" t="s">
        <v>63</v>
      </c>
      <c r="C246" s="18" t="s">
        <v>24</v>
      </c>
      <c r="D246" s="17" t="s">
        <v>230</v>
      </c>
      <c r="E246" s="17" t="s">
        <v>230</v>
      </c>
      <c r="F246" s="17"/>
      <c r="G246" s="19" t="s">
        <v>84</v>
      </c>
      <c r="H246" s="20" t="s">
        <v>176</v>
      </c>
      <c r="I246" s="20" t="s">
        <v>177</v>
      </c>
      <c r="J246" s="19" t="s">
        <v>178</v>
      </c>
      <c r="K246" s="19" t="str">
        <f>_xlfn.XLOOKUP(L246,Values!$A$137:$A$140,Values!$B$137:$B$140)</f>
        <v>1 bis 25</v>
      </c>
      <c r="L246" s="21">
        <v>6</v>
      </c>
      <c r="M246" s="18"/>
      <c r="N246" s="48"/>
      <c r="O246" s="49"/>
      <c r="P246" s="18"/>
      <c r="Q246" s="19">
        <v>0</v>
      </c>
      <c r="S246" s="24">
        <f>+Start!$C$15/(Start!$C$18/1000)*L246*Q246</f>
        <v>0</v>
      </c>
      <c r="T246" s="25">
        <f>+S246/L246</f>
        <v>0</v>
      </c>
      <c r="U246" s="25">
        <f>+T246/Start!$C$15</f>
        <v>0</v>
      </c>
      <c r="V246" s="25">
        <f>+U246/1000*Start!$C$18</f>
        <v>0</v>
      </c>
      <c r="W246" s="25">
        <f t="shared" si="63"/>
        <v>0</v>
      </c>
      <c r="X246" s="25" t="str">
        <f t="shared" si="64"/>
        <v/>
      </c>
      <c r="Y246" s="25" t="str">
        <f>IF(I246="Strom",T246/Q246/(Start!$C$15),"")</f>
        <v/>
      </c>
      <c r="Z246" s="25" t="str">
        <f t="shared" si="61"/>
        <v/>
      </c>
    </row>
    <row r="247" spans="1:26" ht="15" customHeight="1">
      <c r="A247" s="17">
        <v>246</v>
      </c>
      <c r="B247" s="18" t="s">
        <v>63</v>
      </c>
      <c r="C247" s="18" t="s">
        <v>24</v>
      </c>
      <c r="D247" s="17" t="s">
        <v>230</v>
      </c>
      <c r="E247" s="17" t="s">
        <v>230</v>
      </c>
      <c r="F247" s="17"/>
      <c r="G247" s="19" t="s">
        <v>84</v>
      </c>
      <c r="H247" s="20" t="s">
        <v>176</v>
      </c>
      <c r="I247" s="20" t="s">
        <v>177</v>
      </c>
      <c r="J247" s="19" t="s">
        <v>178</v>
      </c>
      <c r="K247" s="19" t="str">
        <f>_xlfn.XLOOKUP(L247,Values!$A$137:$A$140,Values!$B$137:$B$140)</f>
        <v>26 bis 70</v>
      </c>
      <c r="L247" s="51">
        <v>26</v>
      </c>
      <c r="M247" s="18"/>
      <c r="N247" s="48"/>
      <c r="O247" s="49"/>
      <c r="P247" s="18"/>
      <c r="Q247" s="19">
        <v>0</v>
      </c>
      <c r="S247" s="24">
        <f>+Start!$C$15/(Start!$C$18/1000)*L247*Q247</f>
        <v>0</v>
      </c>
      <c r="T247" s="25">
        <f t="shared" ref="T247:T261" si="66">+S247/L247</f>
        <v>0</v>
      </c>
      <c r="U247" s="25">
        <f>+T247/Start!$C$15</f>
        <v>0</v>
      </c>
      <c r="V247" s="25">
        <f>+U247/1000*Start!$C$18</f>
        <v>0</v>
      </c>
      <c r="W247" s="25">
        <f t="shared" si="63"/>
        <v>0</v>
      </c>
      <c r="X247" s="25" t="str">
        <f t="shared" si="64"/>
        <v/>
      </c>
      <c r="Y247" s="25" t="str">
        <f>IF(I247="Strom",T247/Q247/(Start!$C$15),"")</f>
        <v/>
      </c>
      <c r="Z247" s="25" t="str">
        <f t="shared" si="61"/>
        <v/>
      </c>
    </row>
    <row r="248" spans="1:26" ht="15" customHeight="1">
      <c r="A248" s="17">
        <v>247</v>
      </c>
      <c r="B248" s="18" t="s">
        <v>63</v>
      </c>
      <c r="C248" s="18" t="s">
        <v>24</v>
      </c>
      <c r="D248" s="17" t="s">
        <v>230</v>
      </c>
      <c r="E248" s="17" t="s">
        <v>230</v>
      </c>
      <c r="F248" s="17"/>
      <c r="G248" s="19" t="s">
        <v>84</v>
      </c>
      <c r="H248" s="20" t="s">
        <v>176</v>
      </c>
      <c r="I248" s="20" t="s">
        <v>177</v>
      </c>
      <c r="J248" s="19" t="s">
        <v>178</v>
      </c>
      <c r="K248" s="19" t="str">
        <f>_xlfn.XLOOKUP(L248,Values!$A$137:$A$140,Values!$B$137:$B$140)</f>
        <v>71 bis 149</v>
      </c>
      <c r="L248" s="52">
        <v>71</v>
      </c>
      <c r="M248" s="19" t="s">
        <v>106</v>
      </c>
      <c r="N248" s="48"/>
      <c r="O248" s="49"/>
      <c r="P248" s="18"/>
      <c r="Q248" s="76">
        <v>4.4208740000000003E-2</v>
      </c>
      <c r="S248" s="24">
        <f>+Start!$C$15/(Start!$C$18/1000)*L248*Q248*(1-Start!$C$24)</f>
        <v>65.91523134000002</v>
      </c>
      <c r="T248" s="25">
        <f t="shared" si="66"/>
        <v>0.92838354000000023</v>
      </c>
      <c r="U248" s="25">
        <f>+T248/Start!$C$15</f>
        <v>2.6525244000000007E-2</v>
      </c>
      <c r="V248" s="25">
        <f>+U248/1000*Start!$C$18</f>
        <v>1.3262622000000003E-2</v>
      </c>
      <c r="W248" s="25">
        <f t="shared" si="63"/>
        <v>0</v>
      </c>
      <c r="X248" s="25" t="str">
        <f t="shared" si="64"/>
        <v/>
      </c>
      <c r="Y248" s="25" t="str">
        <f>IF(I248="Strom",T248/Q248/(Start!$C$15),"")</f>
        <v/>
      </c>
      <c r="Z248" s="25" t="str">
        <f t="shared" si="61"/>
        <v/>
      </c>
    </row>
    <row r="249" spans="1:26" ht="15" customHeight="1">
      <c r="A249" s="17">
        <v>248</v>
      </c>
      <c r="B249" s="18" t="s">
        <v>63</v>
      </c>
      <c r="C249" s="18" t="s">
        <v>24</v>
      </c>
      <c r="D249" s="17" t="s">
        <v>230</v>
      </c>
      <c r="E249" s="17" t="s">
        <v>230</v>
      </c>
      <c r="F249" s="17"/>
      <c r="G249" s="19" t="s">
        <v>84</v>
      </c>
      <c r="H249" s="20" t="s">
        <v>176</v>
      </c>
      <c r="I249" s="20" t="s">
        <v>177</v>
      </c>
      <c r="J249" s="19" t="s">
        <v>178</v>
      </c>
      <c r="K249" s="19" t="str">
        <f>_xlfn.XLOOKUP(L249,Values!$A$137:$A$140,Values!$B$137:$B$140)</f>
        <v>150 und mehr</v>
      </c>
      <c r="L249" s="53">
        <v>150</v>
      </c>
      <c r="M249" s="19" t="s">
        <v>106</v>
      </c>
      <c r="N249" s="48"/>
      <c r="O249" s="49"/>
      <c r="P249" s="18"/>
      <c r="Q249" s="76">
        <v>4.4208740000000003E-2</v>
      </c>
      <c r="S249" s="24">
        <f>+Start!$C$15/(Start!$C$18/1000)*L249*Q249*(1-Start!$C$24)</f>
        <v>139.25753100000003</v>
      </c>
      <c r="T249" s="25">
        <f t="shared" si="66"/>
        <v>0.92838354000000023</v>
      </c>
      <c r="U249" s="25">
        <f>+T249/Start!$C$15</f>
        <v>2.6525244000000007E-2</v>
      </c>
      <c r="V249" s="25">
        <f>+U249/1000*Start!$C$18</f>
        <v>1.3262622000000003E-2</v>
      </c>
      <c r="W249" s="25">
        <f t="shared" si="63"/>
        <v>0</v>
      </c>
      <c r="X249" s="25" t="str">
        <f t="shared" si="64"/>
        <v/>
      </c>
      <c r="Y249" s="25" t="str">
        <f>IF(I249="Strom",T249/Q249/(Start!$C$15),"")</f>
        <v/>
      </c>
      <c r="Z249" s="25" t="str">
        <f t="shared" si="61"/>
        <v/>
      </c>
    </row>
    <row r="250" spans="1:26" ht="15" customHeight="1">
      <c r="A250" s="17">
        <v>249</v>
      </c>
      <c r="B250" s="18" t="s">
        <v>63</v>
      </c>
      <c r="C250" s="18" t="s">
        <v>22</v>
      </c>
      <c r="D250" s="17" t="s">
        <v>230</v>
      </c>
      <c r="E250" s="17" t="s">
        <v>230</v>
      </c>
      <c r="F250" s="17" t="s">
        <v>230</v>
      </c>
      <c r="G250" s="19" t="s">
        <v>97</v>
      </c>
      <c r="H250" s="20" t="s">
        <v>0</v>
      </c>
      <c r="I250" s="18" t="s">
        <v>22</v>
      </c>
      <c r="J250" s="18" t="s">
        <v>108</v>
      </c>
      <c r="K250" s="19" t="str">
        <f>_xlfn.XLOOKUP(L250,Values!$A$137:$A$140,Values!$B$137:$B$140)</f>
        <v>1 bis 25</v>
      </c>
      <c r="L250" s="21">
        <v>6</v>
      </c>
      <c r="M250" s="18" t="s">
        <v>107</v>
      </c>
      <c r="N250" s="48"/>
      <c r="O250" s="40">
        <v>6</v>
      </c>
      <c r="P250" s="65">
        <v>45</v>
      </c>
      <c r="Q250" s="37">
        <f>+Start!$C$29</f>
        <v>14</v>
      </c>
      <c r="S250" s="42">
        <f>+O250*P250/60*Q250</f>
        <v>63</v>
      </c>
      <c r="T250" s="25">
        <f t="shared" si="66"/>
        <v>10.5</v>
      </c>
      <c r="U250" s="25">
        <f>+T250/Start!$C$15</f>
        <v>0.3</v>
      </c>
      <c r="V250" s="25">
        <f>+U250/1000*Start!$C$18</f>
        <v>0.15</v>
      </c>
      <c r="W250" s="25">
        <f t="shared" si="63"/>
        <v>0</v>
      </c>
      <c r="X250" s="25">
        <f t="shared" si="64"/>
        <v>0.75</v>
      </c>
      <c r="Y250" s="25" t="str">
        <f>IF(I250="Strom",T250/Q250/(Start!$C$15),"")</f>
        <v/>
      </c>
      <c r="Z250" s="25" t="str">
        <f t="shared" si="61"/>
        <v/>
      </c>
    </row>
    <row r="251" spans="1:26" ht="15" customHeight="1">
      <c r="A251" s="17">
        <v>250</v>
      </c>
      <c r="B251" s="18" t="s">
        <v>63</v>
      </c>
      <c r="C251" s="18" t="s">
        <v>22</v>
      </c>
      <c r="D251" s="17" t="s">
        <v>230</v>
      </c>
      <c r="E251" s="17" t="s">
        <v>230</v>
      </c>
      <c r="F251" s="17" t="s">
        <v>230</v>
      </c>
      <c r="G251" s="19" t="s">
        <v>97</v>
      </c>
      <c r="H251" s="18" t="s">
        <v>117</v>
      </c>
      <c r="I251" s="18" t="s">
        <v>117</v>
      </c>
      <c r="J251" s="19" t="s">
        <v>116</v>
      </c>
      <c r="K251" s="19" t="str">
        <f>_xlfn.XLOOKUP(L251,Values!$A$137:$A$140,Values!$B$137:$B$140)</f>
        <v>1 bis 25</v>
      </c>
      <c r="L251" s="21">
        <v>6</v>
      </c>
      <c r="M251" s="18" t="s">
        <v>10</v>
      </c>
      <c r="O251" s="35"/>
      <c r="P251" s="66"/>
      <c r="Q251" s="43">
        <f>+Start!$C$30</f>
        <v>0.28999999999999998</v>
      </c>
      <c r="S251" s="24">
        <f>(+S250)*Q251</f>
        <v>18.27</v>
      </c>
      <c r="T251" s="25">
        <f t="shared" si="66"/>
        <v>3.0449999999999999</v>
      </c>
      <c r="U251" s="25">
        <f>+T251/Start!$C$15</f>
        <v>8.6999999999999994E-2</v>
      </c>
      <c r="V251" s="25">
        <f>+U251/1000*Start!$C$18</f>
        <v>4.3499999999999997E-2</v>
      </c>
      <c r="W251" s="25">
        <f t="shared" si="63"/>
        <v>0</v>
      </c>
      <c r="X251" s="25" t="str">
        <f t="shared" si="64"/>
        <v/>
      </c>
      <c r="Y251" s="25" t="str">
        <f>IF(I251="Strom",T251/Q251/(Start!$C$15),"")</f>
        <v/>
      </c>
      <c r="Z251" s="25" t="str">
        <f t="shared" si="61"/>
        <v/>
      </c>
    </row>
    <row r="252" spans="1:26" ht="15" customHeight="1">
      <c r="A252" s="17">
        <v>251</v>
      </c>
      <c r="B252" s="18" t="s">
        <v>63</v>
      </c>
      <c r="C252" s="18" t="s">
        <v>22</v>
      </c>
      <c r="D252" s="17" t="s">
        <v>230</v>
      </c>
      <c r="E252" s="17" t="s">
        <v>230</v>
      </c>
      <c r="F252" s="17" t="s">
        <v>230</v>
      </c>
      <c r="G252" s="19" t="s">
        <v>97</v>
      </c>
      <c r="H252" s="20" t="s">
        <v>86</v>
      </c>
      <c r="I252" s="18" t="s">
        <v>150</v>
      </c>
      <c r="J252" s="18"/>
      <c r="K252" s="19" t="str">
        <f>_xlfn.XLOOKUP(L252,Values!$A$137:$A$140,Values!$B$137:$B$140)</f>
        <v>1 bis 25</v>
      </c>
      <c r="L252" s="21">
        <v>6</v>
      </c>
      <c r="M252" s="18" t="s">
        <v>107</v>
      </c>
      <c r="N252" s="48"/>
      <c r="O252" s="40">
        <v>1</v>
      </c>
      <c r="P252" s="18"/>
      <c r="Q252" s="77">
        <v>10</v>
      </c>
      <c r="S252" s="42">
        <f>+Q252*O252</f>
        <v>10</v>
      </c>
      <c r="T252" s="25">
        <f t="shared" si="66"/>
        <v>1.6666666666666667</v>
      </c>
      <c r="U252" s="25">
        <f>+T252/Start!$C$15</f>
        <v>4.7619047619047623E-2</v>
      </c>
      <c r="V252" s="25">
        <f>+U252/1000*Start!$C$18</f>
        <v>2.3809523809523812E-2</v>
      </c>
      <c r="W252" s="25">
        <f t="shared" si="63"/>
        <v>0</v>
      </c>
      <c r="X252" s="25" t="str">
        <f t="shared" si="64"/>
        <v/>
      </c>
      <c r="Y252" s="25" t="str">
        <f>IF(I252="Strom",T252/Q252/(Start!$C$15),"")</f>
        <v/>
      </c>
      <c r="Z252" s="25" t="str">
        <f t="shared" si="61"/>
        <v/>
      </c>
    </row>
    <row r="253" spans="1:26" ht="15" customHeight="1">
      <c r="A253" s="17">
        <v>252</v>
      </c>
      <c r="B253" s="18" t="s">
        <v>63</v>
      </c>
      <c r="C253" s="18" t="s">
        <v>22</v>
      </c>
      <c r="D253" s="17" t="s">
        <v>230</v>
      </c>
      <c r="E253" s="17" t="s">
        <v>230</v>
      </c>
      <c r="F253" s="17" t="s">
        <v>230</v>
      </c>
      <c r="G253" s="19" t="s">
        <v>97</v>
      </c>
      <c r="H253" s="20" t="s">
        <v>0</v>
      </c>
      <c r="I253" s="18" t="s">
        <v>22</v>
      </c>
      <c r="J253" s="18" t="s">
        <v>108</v>
      </c>
      <c r="K253" s="19" t="str">
        <f>_xlfn.XLOOKUP(L253,Values!$A$137:$A$140,Values!$B$137:$B$140)</f>
        <v>26 bis 70</v>
      </c>
      <c r="L253" s="51">
        <v>26</v>
      </c>
      <c r="M253" s="18" t="s">
        <v>107</v>
      </c>
      <c r="N253" s="48"/>
      <c r="O253" s="40">
        <v>6</v>
      </c>
      <c r="P253" s="65">
        <v>60</v>
      </c>
      <c r="Q253" s="37">
        <f>+Start!$C$29</f>
        <v>14</v>
      </c>
      <c r="S253" s="42">
        <f>+O253*P253/60*Q253</f>
        <v>84</v>
      </c>
      <c r="T253" s="25">
        <f t="shared" si="66"/>
        <v>3.2307692307692308</v>
      </c>
      <c r="U253" s="25">
        <f>+T253/Start!$C$15</f>
        <v>9.2307692307692313E-2</v>
      </c>
      <c r="V253" s="25">
        <f>+U253/1000*Start!$C$18</f>
        <v>4.6153846153846156E-2</v>
      </c>
      <c r="W253" s="25">
        <f t="shared" si="63"/>
        <v>0</v>
      </c>
      <c r="X253" s="25">
        <f t="shared" si="64"/>
        <v>0.23076923076923078</v>
      </c>
      <c r="Y253" s="25" t="str">
        <f>IF(I253="Strom",T253/Q253/(Start!$C$15),"")</f>
        <v/>
      </c>
      <c r="Z253" s="25" t="str">
        <f t="shared" si="61"/>
        <v/>
      </c>
    </row>
    <row r="254" spans="1:26" ht="15" customHeight="1">
      <c r="A254" s="17">
        <v>253</v>
      </c>
      <c r="B254" s="18" t="s">
        <v>63</v>
      </c>
      <c r="C254" s="18" t="s">
        <v>22</v>
      </c>
      <c r="D254" s="17" t="s">
        <v>230</v>
      </c>
      <c r="E254" s="17" t="s">
        <v>230</v>
      </c>
      <c r="F254" s="17" t="s">
        <v>230</v>
      </c>
      <c r="G254" s="19" t="s">
        <v>97</v>
      </c>
      <c r="H254" s="18" t="s">
        <v>117</v>
      </c>
      <c r="I254" s="18" t="s">
        <v>117</v>
      </c>
      <c r="J254" s="19" t="s">
        <v>116</v>
      </c>
      <c r="K254" s="19" t="str">
        <f>_xlfn.XLOOKUP(L254,Values!$A$137:$A$140,Values!$B$137:$B$140)</f>
        <v>26 bis 70</v>
      </c>
      <c r="L254" s="51">
        <v>26</v>
      </c>
      <c r="M254" s="18" t="s">
        <v>10</v>
      </c>
      <c r="O254" s="35"/>
      <c r="P254" s="66"/>
      <c r="Q254" s="43">
        <f>+Start!$C$30</f>
        <v>0.28999999999999998</v>
      </c>
      <c r="S254" s="24">
        <f>(+S253)*Q254</f>
        <v>24.36</v>
      </c>
      <c r="T254" s="25">
        <f t="shared" si="66"/>
        <v>0.93692307692307686</v>
      </c>
      <c r="U254" s="25">
        <f>+T254/Start!$C$15</f>
        <v>2.6769230769230767E-2</v>
      </c>
      <c r="V254" s="25">
        <f>+U254/1000*Start!$C$18</f>
        <v>1.3384615384615384E-2</v>
      </c>
      <c r="W254" s="25">
        <f t="shared" si="63"/>
        <v>0</v>
      </c>
      <c r="X254" s="25" t="str">
        <f t="shared" si="64"/>
        <v/>
      </c>
      <c r="Y254" s="25" t="str">
        <f>IF(I254="Strom",T254/Q254/(Start!$C$15),"")</f>
        <v/>
      </c>
      <c r="Z254" s="25" t="str">
        <f t="shared" si="61"/>
        <v/>
      </c>
    </row>
    <row r="255" spans="1:26" ht="15" customHeight="1">
      <c r="A255" s="17">
        <v>254</v>
      </c>
      <c r="B255" s="18" t="s">
        <v>63</v>
      </c>
      <c r="C255" s="18" t="s">
        <v>22</v>
      </c>
      <c r="D255" s="17" t="s">
        <v>230</v>
      </c>
      <c r="E255" s="17" t="s">
        <v>230</v>
      </c>
      <c r="F255" s="17" t="s">
        <v>230</v>
      </c>
      <c r="G255" s="19" t="s">
        <v>97</v>
      </c>
      <c r="H255" s="20" t="s">
        <v>86</v>
      </c>
      <c r="I255" s="18" t="s">
        <v>150</v>
      </c>
      <c r="J255" s="18"/>
      <c r="K255" s="19" t="str">
        <f>_xlfn.XLOOKUP(L255,Values!$A$137:$A$140,Values!$B$137:$B$140)</f>
        <v>26 bis 70</v>
      </c>
      <c r="L255" s="51">
        <v>26</v>
      </c>
      <c r="M255" s="18" t="s">
        <v>107</v>
      </c>
      <c r="N255" s="48"/>
      <c r="O255" s="40">
        <v>1</v>
      </c>
      <c r="P255" s="18"/>
      <c r="Q255" s="77">
        <v>25</v>
      </c>
      <c r="S255" s="42">
        <f>+Q255*O255</f>
        <v>25</v>
      </c>
      <c r="T255" s="25">
        <f t="shared" si="66"/>
        <v>0.96153846153846156</v>
      </c>
      <c r="U255" s="25">
        <f>+T255/Start!$C$15</f>
        <v>2.7472527472527472E-2</v>
      </c>
      <c r="V255" s="25">
        <f>+U255/1000*Start!$C$18</f>
        <v>1.3736263736263736E-2</v>
      </c>
      <c r="W255" s="25">
        <f t="shared" si="63"/>
        <v>0</v>
      </c>
      <c r="X255" s="25" t="str">
        <f t="shared" si="64"/>
        <v/>
      </c>
      <c r="Y255" s="25" t="str">
        <f>IF(I255="Strom",T255/Q255/(Start!$C$15),"")</f>
        <v/>
      </c>
      <c r="Z255" s="25" t="str">
        <f t="shared" si="61"/>
        <v/>
      </c>
    </row>
    <row r="256" spans="1:26" ht="15" customHeight="1">
      <c r="A256" s="17">
        <v>255</v>
      </c>
      <c r="B256" s="18" t="s">
        <v>63</v>
      </c>
      <c r="C256" s="18" t="s">
        <v>22</v>
      </c>
      <c r="D256" s="17" t="s">
        <v>230</v>
      </c>
      <c r="E256" s="17" t="s">
        <v>230</v>
      </c>
      <c r="F256" s="17" t="s">
        <v>230</v>
      </c>
      <c r="G256" s="19" t="s">
        <v>97</v>
      </c>
      <c r="H256" s="20" t="s">
        <v>0</v>
      </c>
      <c r="I256" s="18" t="s">
        <v>22</v>
      </c>
      <c r="J256" s="18" t="s">
        <v>108</v>
      </c>
      <c r="K256" s="19" t="str">
        <f>_xlfn.XLOOKUP(L256,Values!$A$137:$A$140,Values!$B$137:$B$140)</f>
        <v>71 bis 149</v>
      </c>
      <c r="L256" s="52">
        <v>71</v>
      </c>
      <c r="M256" s="18" t="s">
        <v>107</v>
      </c>
      <c r="N256" s="48"/>
      <c r="O256" s="40">
        <v>6</v>
      </c>
      <c r="P256" s="65">
        <v>120</v>
      </c>
      <c r="Q256" s="37">
        <f>+Start!$C$29</f>
        <v>14</v>
      </c>
      <c r="S256" s="42">
        <f>+O256*P256/60*Q256</f>
        <v>168</v>
      </c>
      <c r="T256" s="25">
        <f t="shared" si="66"/>
        <v>2.3661971830985915</v>
      </c>
      <c r="U256" s="25">
        <f>+T256/Start!$C$15</f>
        <v>6.7605633802816895E-2</v>
      </c>
      <c r="V256" s="25">
        <f>+U256/1000*Start!$C$18</f>
        <v>3.3802816901408447E-2</v>
      </c>
      <c r="W256" s="25">
        <f t="shared" si="63"/>
        <v>0</v>
      </c>
      <c r="X256" s="25">
        <f t="shared" si="64"/>
        <v>0.16901408450704225</v>
      </c>
      <c r="Y256" s="25" t="str">
        <f>IF(I256="Strom",T256/Q256/(Start!$C$15),"")</f>
        <v/>
      </c>
      <c r="Z256" s="25" t="str">
        <f t="shared" si="61"/>
        <v/>
      </c>
    </row>
    <row r="257" spans="1:26" ht="15" customHeight="1">
      <c r="A257" s="17">
        <v>256</v>
      </c>
      <c r="B257" s="18" t="s">
        <v>63</v>
      </c>
      <c r="C257" s="18" t="s">
        <v>22</v>
      </c>
      <c r="D257" s="17" t="s">
        <v>230</v>
      </c>
      <c r="E257" s="17" t="s">
        <v>230</v>
      </c>
      <c r="F257" s="17" t="s">
        <v>230</v>
      </c>
      <c r="G257" s="19" t="s">
        <v>97</v>
      </c>
      <c r="H257" s="18" t="s">
        <v>117</v>
      </c>
      <c r="I257" s="18" t="s">
        <v>117</v>
      </c>
      <c r="J257" s="19" t="s">
        <v>116</v>
      </c>
      <c r="K257" s="19" t="str">
        <f>_xlfn.XLOOKUP(L257,Values!$A$137:$A$140,Values!$B$137:$B$140)</f>
        <v>71 bis 149</v>
      </c>
      <c r="L257" s="52">
        <v>71</v>
      </c>
      <c r="M257" s="18" t="s">
        <v>10</v>
      </c>
      <c r="O257" s="35"/>
      <c r="P257" s="66"/>
      <c r="Q257" s="43">
        <f>+Start!$C$30</f>
        <v>0.28999999999999998</v>
      </c>
      <c r="S257" s="24">
        <f>(+S256)*Q257</f>
        <v>48.72</v>
      </c>
      <c r="T257" s="25">
        <f t="shared" si="66"/>
        <v>0.68619718309859157</v>
      </c>
      <c r="U257" s="25">
        <f>+T257/Start!$C$15</f>
        <v>1.9605633802816901E-2</v>
      </c>
      <c r="V257" s="25">
        <f>+U257/1000*Start!$C$18</f>
        <v>9.8028169014084503E-3</v>
      </c>
      <c r="W257" s="25">
        <f t="shared" si="63"/>
        <v>0</v>
      </c>
      <c r="X257" s="25" t="str">
        <f t="shared" si="64"/>
        <v/>
      </c>
      <c r="Y257" s="25" t="str">
        <f>IF(I257="Strom",T257/Q257/(Start!$C$15),"")</f>
        <v/>
      </c>
      <c r="Z257" s="25" t="str">
        <f t="shared" si="61"/>
        <v/>
      </c>
    </row>
    <row r="258" spans="1:26" ht="15" customHeight="1">
      <c r="A258" s="17">
        <v>257</v>
      </c>
      <c r="B258" s="18" t="s">
        <v>63</v>
      </c>
      <c r="C258" s="18" t="s">
        <v>22</v>
      </c>
      <c r="D258" s="17" t="s">
        <v>230</v>
      </c>
      <c r="E258" s="17" t="s">
        <v>230</v>
      </c>
      <c r="F258" s="17" t="s">
        <v>230</v>
      </c>
      <c r="G258" s="19" t="s">
        <v>97</v>
      </c>
      <c r="H258" s="20" t="s">
        <v>86</v>
      </c>
      <c r="I258" s="18" t="s">
        <v>150</v>
      </c>
      <c r="J258" s="18"/>
      <c r="K258" s="19" t="str">
        <f>_xlfn.XLOOKUP(L258,Values!$A$137:$A$140,Values!$B$137:$B$140)</f>
        <v>71 bis 149</v>
      </c>
      <c r="L258" s="52">
        <v>71</v>
      </c>
      <c r="M258" s="18" t="s">
        <v>107</v>
      </c>
      <c r="N258" s="48"/>
      <c r="O258" s="40">
        <v>1</v>
      </c>
      <c r="P258" s="18"/>
      <c r="Q258" s="77">
        <v>40</v>
      </c>
      <c r="S258" s="42">
        <f>+Q258*O258</f>
        <v>40</v>
      </c>
      <c r="T258" s="25">
        <f t="shared" si="66"/>
        <v>0.56338028169014087</v>
      </c>
      <c r="U258" s="25">
        <f>+T258/Start!$C$15</f>
        <v>1.6096579476861168E-2</v>
      </c>
      <c r="V258" s="25">
        <f>+U258/1000*Start!$C$18</f>
        <v>8.0482897384305842E-3</v>
      </c>
      <c r="W258" s="25">
        <f t="shared" si="63"/>
        <v>0</v>
      </c>
      <c r="X258" s="25" t="str">
        <f t="shared" si="64"/>
        <v/>
      </c>
      <c r="Y258" s="25" t="str">
        <f>IF(I258="Strom",T258/Q258/(Start!$C$15),"")</f>
        <v/>
      </c>
      <c r="Z258" s="25" t="str">
        <f t="shared" si="61"/>
        <v/>
      </c>
    </row>
    <row r="259" spans="1:26" ht="15" customHeight="1">
      <c r="A259" s="17">
        <v>258</v>
      </c>
      <c r="B259" s="18" t="s">
        <v>63</v>
      </c>
      <c r="C259" s="18" t="s">
        <v>22</v>
      </c>
      <c r="D259" s="17" t="s">
        <v>230</v>
      </c>
      <c r="E259" s="17" t="s">
        <v>230</v>
      </c>
      <c r="F259" s="17" t="s">
        <v>230</v>
      </c>
      <c r="G259" s="19" t="s">
        <v>97</v>
      </c>
      <c r="H259" s="20" t="s">
        <v>0</v>
      </c>
      <c r="I259" s="18" t="s">
        <v>22</v>
      </c>
      <c r="J259" s="18" t="s">
        <v>108</v>
      </c>
      <c r="K259" s="19" t="str">
        <f>_xlfn.XLOOKUP(L259,Values!$A$137:$A$140,Values!$B$137:$B$140)</f>
        <v>150 und mehr</v>
      </c>
      <c r="L259" s="53">
        <v>150</v>
      </c>
      <c r="M259" s="18" t="s">
        <v>107</v>
      </c>
      <c r="N259" s="48"/>
      <c r="O259" s="40">
        <v>6</v>
      </c>
      <c r="P259" s="65">
        <v>180</v>
      </c>
      <c r="Q259" s="37">
        <f>+Start!$C$29</f>
        <v>14</v>
      </c>
      <c r="S259" s="42">
        <f>+O259*P259/60*Q259</f>
        <v>252</v>
      </c>
      <c r="T259" s="25">
        <f t="shared" si="66"/>
        <v>1.68</v>
      </c>
      <c r="U259" s="25">
        <f>+T259/Start!$C$15</f>
        <v>4.8000000000000001E-2</v>
      </c>
      <c r="V259" s="25">
        <f>+U259/1000*Start!$C$18</f>
        <v>2.4E-2</v>
      </c>
      <c r="W259" s="25">
        <f t="shared" si="63"/>
        <v>0</v>
      </c>
      <c r="X259" s="25">
        <f t="shared" si="64"/>
        <v>0.12</v>
      </c>
      <c r="Y259" s="25" t="str">
        <f>IF(I259="Strom",T259/Q259/(Start!$C$15),"")</f>
        <v/>
      </c>
      <c r="Z259" s="25" t="str">
        <f t="shared" si="61"/>
        <v/>
      </c>
    </row>
    <row r="260" spans="1:26" ht="15" customHeight="1">
      <c r="A260" s="17">
        <v>259</v>
      </c>
      <c r="B260" s="18" t="s">
        <v>63</v>
      </c>
      <c r="C260" s="18" t="s">
        <v>22</v>
      </c>
      <c r="D260" s="17" t="s">
        <v>230</v>
      </c>
      <c r="E260" s="17" t="s">
        <v>230</v>
      </c>
      <c r="F260" s="17" t="s">
        <v>230</v>
      </c>
      <c r="G260" s="19" t="s">
        <v>97</v>
      </c>
      <c r="H260" s="18" t="s">
        <v>117</v>
      </c>
      <c r="I260" s="18" t="s">
        <v>117</v>
      </c>
      <c r="J260" s="19" t="s">
        <v>116</v>
      </c>
      <c r="K260" s="19" t="str">
        <f>_xlfn.XLOOKUP(L260,Values!$A$137:$A$140,Values!$B$137:$B$140)</f>
        <v>150 und mehr</v>
      </c>
      <c r="L260" s="53">
        <v>150</v>
      </c>
      <c r="M260" s="18" t="s">
        <v>10</v>
      </c>
      <c r="O260" s="35"/>
      <c r="P260" s="66"/>
      <c r="Q260" s="43">
        <f>+Start!$C$30</f>
        <v>0.28999999999999998</v>
      </c>
      <c r="S260" s="24">
        <f>(+S259)*Q260</f>
        <v>73.08</v>
      </c>
      <c r="T260" s="25">
        <f t="shared" si="66"/>
        <v>0.48719999999999997</v>
      </c>
      <c r="U260" s="25">
        <f>+T260/Start!$C$15</f>
        <v>1.3919999999999998E-2</v>
      </c>
      <c r="V260" s="25">
        <f>+U260/1000*Start!$C$18</f>
        <v>6.9599999999999992E-3</v>
      </c>
      <c r="W260" s="25">
        <f t="shared" si="63"/>
        <v>0</v>
      </c>
      <c r="X260" s="25" t="str">
        <f t="shared" si="64"/>
        <v/>
      </c>
      <c r="Y260" s="25" t="str">
        <f>IF(I260="Strom",T260/Q260/(Start!$C$15),"")</f>
        <v/>
      </c>
      <c r="Z260" s="25" t="str">
        <f t="shared" si="61"/>
        <v/>
      </c>
    </row>
    <row r="261" spans="1:26" ht="15" customHeight="1">
      <c r="A261" s="17">
        <v>260</v>
      </c>
      <c r="B261" s="18" t="s">
        <v>63</v>
      </c>
      <c r="C261" s="18" t="s">
        <v>22</v>
      </c>
      <c r="D261" s="17" t="s">
        <v>230</v>
      </c>
      <c r="E261" s="17" t="s">
        <v>230</v>
      </c>
      <c r="F261" s="17" t="s">
        <v>230</v>
      </c>
      <c r="G261" s="19" t="s">
        <v>97</v>
      </c>
      <c r="H261" s="20" t="s">
        <v>86</v>
      </c>
      <c r="I261" s="18" t="s">
        <v>150</v>
      </c>
      <c r="J261" s="18"/>
      <c r="K261" s="19" t="str">
        <f>_xlfn.XLOOKUP(L261,Values!$A$137:$A$140,Values!$B$137:$B$140)</f>
        <v>150 und mehr</v>
      </c>
      <c r="L261" s="53">
        <v>150</v>
      </c>
      <c r="M261" s="18" t="s">
        <v>107</v>
      </c>
      <c r="N261" s="48"/>
      <c r="O261" s="40">
        <v>1</v>
      </c>
      <c r="P261" s="18"/>
      <c r="Q261" s="77">
        <v>70</v>
      </c>
      <c r="S261" s="42">
        <f>+Q261*O261</f>
        <v>70</v>
      </c>
      <c r="T261" s="25">
        <f t="shared" si="66"/>
        <v>0.46666666666666667</v>
      </c>
      <c r="U261" s="25">
        <f>+T261/Start!$C$15</f>
        <v>1.3333333333333334E-2</v>
      </c>
      <c r="V261" s="25">
        <f>+U261/1000*Start!$C$18</f>
        <v>6.6666666666666671E-3</v>
      </c>
      <c r="W261" s="25">
        <f t="shared" si="63"/>
        <v>0</v>
      </c>
      <c r="X261" s="25" t="str">
        <f t="shared" si="64"/>
        <v/>
      </c>
      <c r="Y261" s="25" t="str">
        <f>IF(I261="Strom",T261/Q261/(Start!$C$15),"")</f>
        <v/>
      </c>
      <c r="Z261" s="25" t="str">
        <f t="shared" si="61"/>
        <v/>
      </c>
    </row>
    <row r="262" spans="1:26" ht="15" customHeight="1">
      <c r="A262" s="17">
        <v>261</v>
      </c>
      <c r="B262" s="18" t="s">
        <v>11</v>
      </c>
      <c r="C262" s="18" t="s">
        <v>11</v>
      </c>
      <c r="D262" s="17" t="s">
        <v>230</v>
      </c>
      <c r="E262" s="17" t="s">
        <v>230</v>
      </c>
      <c r="F262" s="17" t="s">
        <v>230</v>
      </c>
      <c r="G262" s="19" t="s">
        <v>84</v>
      </c>
      <c r="H262" s="20" t="s">
        <v>8</v>
      </c>
      <c r="I262" s="18" t="s">
        <v>72</v>
      </c>
      <c r="J262" s="19" t="s">
        <v>73</v>
      </c>
      <c r="K262" s="19" t="str">
        <f>_xlfn.XLOOKUP(L262,Values!$A$137:$A$140,Values!$B$137:$B$140)</f>
        <v>1 bis 25</v>
      </c>
      <c r="L262" s="21">
        <v>6</v>
      </c>
      <c r="M262" s="19" t="s">
        <v>10</v>
      </c>
      <c r="N262" s="48"/>
      <c r="O262" s="40">
        <v>1</v>
      </c>
      <c r="Q262" s="55">
        <v>6.2</v>
      </c>
      <c r="S262" s="24">
        <f>+(O262*Q262)</f>
        <v>6.2</v>
      </c>
      <c r="T262" s="25">
        <f t="shared" ref="T262:T333" si="67">+S262/L262</f>
        <v>1.0333333333333334</v>
      </c>
      <c r="U262" s="25">
        <f>+T262/Start!$C$15</f>
        <v>2.9523809523809525E-2</v>
      </c>
      <c r="V262" s="25">
        <f>+U262/1000*Start!$C$18</f>
        <v>1.4761904761904763E-2</v>
      </c>
      <c r="W262" s="25">
        <f t="shared" si="63"/>
        <v>0</v>
      </c>
      <c r="X262" s="25" t="str">
        <f t="shared" si="64"/>
        <v/>
      </c>
      <c r="Y262" s="25" t="str">
        <f>IF(I262="Strom",T262/Q262/(Start!$C$15),"")</f>
        <v/>
      </c>
      <c r="Z262" s="25" t="str">
        <f t="shared" si="61"/>
        <v/>
      </c>
    </row>
    <row r="263" spans="1:26" ht="15" customHeight="1">
      <c r="A263" s="17">
        <v>262</v>
      </c>
      <c r="B263" s="18" t="s">
        <v>11</v>
      </c>
      <c r="C263" s="18" t="s">
        <v>11</v>
      </c>
      <c r="D263" s="17" t="s">
        <v>230</v>
      </c>
      <c r="E263" s="17" t="s">
        <v>230</v>
      </c>
      <c r="F263" s="17" t="s">
        <v>230</v>
      </c>
      <c r="G263" s="19" t="s">
        <v>84</v>
      </c>
      <c r="H263" s="18" t="s">
        <v>117</v>
      </c>
      <c r="I263" s="34" t="s">
        <v>163</v>
      </c>
      <c r="K263" s="19" t="str">
        <f>_xlfn.XLOOKUP(L263,Values!$A$137:$A$140,Values!$B$137:$B$140)</f>
        <v>26 bis 70</v>
      </c>
      <c r="L263" s="51">
        <v>26</v>
      </c>
      <c r="M263" s="19" t="s">
        <v>10</v>
      </c>
      <c r="N263" s="78"/>
      <c r="O263" s="40">
        <v>1</v>
      </c>
      <c r="Q263" s="55">
        <v>146.69999999999999</v>
      </c>
      <c r="S263" s="24">
        <f t="shared" ref="S263:S265" si="68">+(O263*Q263)</f>
        <v>146.69999999999999</v>
      </c>
      <c r="T263" s="25">
        <f t="shared" si="67"/>
        <v>5.6423076923076918</v>
      </c>
      <c r="U263" s="25">
        <f>+T263/Start!$C$15</f>
        <v>0.1612087912087912</v>
      </c>
      <c r="V263" s="25">
        <f>+U263/1000*Start!$C$18</f>
        <v>8.0604395604395598E-2</v>
      </c>
      <c r="W263" s="25">
        <f t="shared" si="63"/>
        <v>0</v>
      </c>
      <c r="X263" s="25" t="str">
        <f t="shared" si="64"/>
        <v/>
      </c>
      <c r="Y263" s="25" t="str">
        <f>IF(I263="Strom",T263/Q263/(Start!$C$15),"")</f>
        <v/>
      </c>
      <c r="Z263" s="25" t="str">
        <f t="shared" si="61"/>
        <v/>
      </c>
    </row>
    <row r="264" spans="1:26" ht="15" customHeight="1">
      <c r="A264" s="17">
        <v>263</v>
      </c>
      <c r="B264" s="18" t="s">
        <v>11</v>
      </c>
      <c r="C264" s="18" t="s">
        <v>11</v>
      </c>
      <c r="D264" s="17" t="s">
        <v>230</v>
      </c>
      <c r="E264" s="17" t="s">
        <v>230</v>
      </c>
      <c r="F264" s="17" t="s">
        <v>230</v>
      </c>
      <c r="G264" s="19" t="s">
        <v>84</v>
      </c>
      <c r="H264" s="18" t="s">
        <v>117</v>
      </c>
      <c r="I264" s="34" t="s">
        <v>163</v>
      </c>
      <c r="K264" s="19" t="str">
        <f>_xlfn.XLOOKUP(L264,Values!$A$137:$A$140,Values!$B$137:$B$140)</f>
        <v>71 bis 149</v>
      </c>
      <c r="L264" s="52">
        <v>71</v>
      </c>
      <c r="M264" s="19" t="s">
        <v>10</v>
      </c>
      <c r="N264" s="78"/>
      <c r="O264" s="40">
        <v>1</v>
      </c>
      <c r="Q264" s="55">
        <v>245.21</v>
      </c>
      <c r="S264" s="24">
        <f t="shared" si="68"/>
        <v>245.21</v>
      </c>
      <c r="T264" s="25">
        <f t="shared" si="67"/>
        <v>3.4536619718309862</v>
      </c>
      <c r="U264" s="25">
        <f>+T264/Start!$C$15</f>
        <v>9.8676056338028173E-2</v>
      </c>
      <c r="V264" s="25">
        <f>+U264/1000*Start!$C$18</f>
        <v>4.9338028169014086E-2</v>
      </c>
      <c r="W264" s="25">
        <f t="shared" si="63"/>
        <v>0</v>
      </c>
      <c r="X264" s="25" t="str">
        <f t="shared" si="64"/>
        <v/>
      </c>
      <c r="Y264" s="25" t="str">
        <f>IF(I264="Strom",T264/Q264/(Start!$C$15),"")</f>
        <v/>
      </c>
      <c r="Z264" s="25" t="str">
        <f t="shared" si="61"/>
        <v/>
      </c>
    </row>
    <row r="265" spans="1:26" ht="15" customHeight="1">
      <c r="A265" s="17">
        <v>264</v>
      </c>
      <c r="B265" s="18" t="s">
        <v>11</v>
      </c>
      <c r="C265" s="18" t="s">
        <v>11</v>
      </c>
      <c r="D265" s="17" t="s">
        <v>230</v>
      </c>
      <c r="E265" s="17" t="s">
        <v>230</v>
      </c>
      <c r="F265" s="17" t="s">
        <v>230</v>
      </c>
      <c r="G265" s="19" t="s">
        <v>84</v>
      </c>
      <c r="H265" s="18" t="s">
        <v>117</v>
      </c>
      <c r="I265" s="34" t="s">
        <v>163</v>
      </c>
      <c r="K265" s="19" t="str">
        <f>_xlfn.XLOOKUP(L265,Values!$A$137:$A$140,Values!$B$137:$B$140)</f>
        <v>150 und mehr</v>
      </c>
      <c r="L265" s="53">
        <v>150</v>
      </c>
      <c r="M265" s="19" t="s">
        <v>10</v>
      </c>
      <c r="N265" s="78"/>
      <c r="O265" s="40">
        <v>1</v>
      </c>
      <c r="Q265" s="55">
        <v>418.16</v>
      </c>
      <c r="S265" s="24">
        <f t="shared" si="68"/>
        <v>418.16</v>
      </c>
      <c r="T265" s="25">
        <f t="shared" si="67"/>
        <v>2.7877333333333336</v>
      </c>
      <c r="U265" s="25">
        <f>+T265/Start!$C$15</f>
        <v>7.9649523809523823E-2</v>
      </c>
      <c r="V265" s="25">
        <f>+U265/1000*Start!$C$18</f>
        <v>3.9824761904761911E-2</v>
      </c>
      <c r="W265" s="25">
        <f t="shared" si="63"/>
        <v>0</v>
      </c>
      <c r="X265" s="25" t="str">
        <f t="shared" si="64"/>
        <v/>
      </c>
      <c r="Y265" s="25" t="str">
        <f>IF(I265="Strom",T265/Q265/(Start!$C$15),"")</f>
        <v/>
      </c>
      <c r="Z265" s="25" t="str">
        <f t="shared" si="61"/>
        <v/>
      </c>
    </row>
    <row r="266" spans="1:26" ht="15" customHeight="1">
      <c r="A266" s="17">
        <v>265</v>
      </c>
      <c r="B266" s="18" t="s">
        <v>11</v>
      </c>
      <c r="C266" s="18" t="s">
        <v>11</v>
      </c>
      <c r="D266" s="17" t="s">
        <v>230</v>
      </c>
      <c r="E266" s="17" t="s">
        <v>230</v>
      </c>
      <c r="F266" s="17" t="s">
        <v>230</v>
      </c>
      <c r="G266" s="19" t="s">
        <v>84</v>
      </c>
      <c r="H266" s="20" t="s">
        <v>8</v>
      </c>
      <c r="I266" s="18" t="s">
        <v>55</v>
      </c>
      <c r="J266" s="19" t="s">
        <v>56</v>
      </c>
      <c r="K266" s="19" t="str">
        <f>_xlfn.XLOOKUP(L266,Values!$A$137:$A$140,Values!$B$137:$B$140)</f>
        <v>1 bis 25</v>
      </c>
      <c r="L266" s="21">
        <v>6</v>
      </c>
      <c r="M266" s="19" t="s">
        <v>10</v>
      </c>
      <c r="O266" s="40"/>
      <c r="Q266" s="55"/>
      <c r="S266" s="24"/>
      <c r="T266" s="25">
        <f t="shared" si="67"/>
        <v>0</v>
      </c>
      <c r="U266" s="25"/>
      <c r="V266" s="25"/>
      <c r="W266" s="25">
        <f t="shared" si="63"/>
        <v>0</v>
      </c>
      <c r="X266" s="25" t="str">
        <f t="shared" si="64"/>
        <v/>
      </c>
      <c r="Y266" s="25" t="str">
        <f>IF(I266="Strom",T266/Q266/(Start!$C$15),"")</f>
        <v/>
      </c>
      <c r="Z266" s="25" t="str">
        <f t="shared" si="61"/>
        <v/>
      </c>
    </row>
    <row r="267" spans="1:26" ht="15" customHeight="1">
      <c r="A267" s="17">
        <v>266</v>
      </c>
      <c r="B267" s="18" t="s">
        <v>11</v>
      </c>
      <c r="C267" s="18" t="s">
        <v>11</v>
      </c>
      <c r="D267" s="17" t="s">
        <v>230</v>
      </c>
      <c r="E267" s="17" t="s">
        <v>230</v>
      </c>
      <c r="F267" s="17" t="s">
        <v>230</v>
      </c>
      <c r="G267" s="19" t="s">
        <v>84</v>
      </c>
      <c r="H267" s="20" t="s">
        <v>8</v>
      </c>
      <c r="I267" s="18" t="s">
        <v>55</v>
      </c>
      <c r="J267" s="19" t="s">
        <v>56</v>
      </c>
      <c r="K267" s="19" t="str">
        <f>_xlfn.XLOOKUP(L267,Values!$A$137:$A$140,Values!$B$137:$B$140)</f>
        <v>26 bis 70</v>
      </c>
      <c r="L267" s="51">
        <v>26</v>
      </c>
      <c r="M267" s="19" t="s">
        <v>10</v>
      </c>
      <c r="O267" s="40"/>
      <c r="Q267" s="55"/>
      <c r="S267" s="24"/>
      <c r="T267" s="25">
        <f t="shared" si="67"/>
        <v>0</v>
      </c>
      <c r="U267" s="25"/>
      <c r="V267" s="25"/>
      <c r="W267" s="25">
        <f t="shared" si="63"/>
        <v>0</v>
      </c>
      <c r="X267" s="25" t="str">
        <f t="shared" si="64"/>
        <v/>
      </c>
      <c r="Y267" s="25" t="str">
        <f>IF(I267="Strom",T267/Q267/(Start!$C$15),"")</f>
        <v/>
      </c>
      <c r="Z267" s="25" t="str">
        <f t="shared" si="61"/>
        <v/>
      </c>
    </row>
    <row r="268" spans="1:26" ht="15" customHeight="1">
      <c r="A268" s="17">
        <v>267</v>
      </c>
      <c r="B268" s="18" t="s">
        <v>11</v>
      </c>
      <c r="C268" s="18" t="s">
        <v>11</v>
      </c>
      <c r="D268" s="17" t="s">
        <v>230</v>
      </c>
      <c r="E268" s="17" t="s">
        <v>230</v>
      </c>
      <c r="F268" s="17" t="s">
        <v>230</v>
      </c>
      <c r="G268" s="19" t="s">
        <v>84</v>
      </c>
      <c r="H268" s="20" t="s">
        <v>8</v>
      </c>
      <c r="I268" s="18" t="s">
        <v>55</v>
      </c>
      <c r="J268" s="19" t="s">
        <v>56</v>
      </c>
      <c r="K268" s="19" t="str">
        <f>_xlfn.XLOOKUP(L268,Values!$A$137:$A$140,Values!$B$137:$B$140)</f>
        <v>71 bis 149</v>
      </c>
      <c r="L268" s="52">
        <v>71</v>
      </c>
      <c r="M268" s="19" t="s">
        <v>10</v>
      </c>
      <c r="O268" s="40"/>
      <c r="Q268" s="55"/>
      <c r="S268" s="24"/>
      <c r="T268" s="25">
        <f t="shared" si="67"/>
        <v>0</v>
      </c>
      <c r="U268" s="25"/>
      <c r="V268" s="25"/>
      <c r="W268" s="25">
        <f t="shared" si="63"/>
        <v>0</v>
      </c>
      <c r="X268" s="25" t="str">
        <f t="shared" si="64"/>
        <v/>
      </c>
      <c r="Y268" s="25" t="str">
        <f>IF(I268="Strom",T268/Q268/(Start!$C$15),"")</f>
        <v/>
      </c>
      <c r="Z268" s="25" t="str">
        <f t="shared" si="61"/>
        <v/>
      </c>
    </row>
    <row r="269" spans="1:26" ht="15" customHeight="1">
      <c r="A269" s="17">
        <v>268</v>
      </c>
      <c r="B269" s="18" t="s">
        <v>11</v>
      </c>
      <c r="C269" s="18" t="s">
        <v>11</v>
      </c>
      <c r="D269" s="17" t="s">
        <v>230</v>
      </c>
      <c r="E269" s="17" t="s">
        <v>230</v>
      </c>
      <c r="F269" s="17" t="s">
        <v>230</v>
      </c>
      <c r="G269" s="19" t="s">
        <v>84</v>
      </c>
      <c r="H269" s="20" t="s">
        <v>8</v>
      </c>
      <c r="I269" s="18" t="s">
        <v>55</v>
      </c>
      <c r="J269" s="19" t="s">
        <v>56</v>
      </c>
      <c r="K269" s="19" t="str">
        <f>_xlfn.XLOOKUP(L269,Values!$A$137:$A$140,Values!$B$137:$B$140)</f>
        <v>150 und mehr</v>
      </c>
      <c r="L269" s="53">
        <v>150</v>
      </c>
      <c r="M269" s="19" t="s">
        <v>10</v>
      </c>
      <c r="O269" s="40"/>
      <c r="Q269" s="55"/>
      <c r="S269" s="24"/>
      <c r="T269" s="25">
        <f t="shared" si="67"/>
        <v>0</v>
      </c>
      <c r="U269" s="25"/>
      <c r="V269" s="25"/>
      <c r="W269" s="25">
        <f t="shared" si="63"/>
        <v>0</v>
      </c>
      <c r="X269" s="25" t="str">
        <f t="shared" si="64"/>
        <v/>
      </c>
      <c r="Y269" s="25" t="str">
        <f>IF(I269="Strom",T269/Q269/(Start!$C$15),"")</f>
        <v/>
      </c>
      <c r="Z269" s="25" t="str">
        <f t="shared" si="61"/>
        <v/>
      </c>
    </row>
    <row r="270" spans="1:26" ht="15" customHeight="1">
      <c r="A270" s="17">
        <v>269</v>
      </c>
      <c r="B270" s="18" t="s">
        <v>11</v>
      </c>
      <c r="C270" s="18" t="s">
        <v>11</v>
      </c>
      <c r="D270" s="17" t="s">
        <v>230</v>
      </c>
      <c r="E270" s="17" t="s">
        <v>230</v>
      </c>
      <c r="F270" s="17" t="s">
        <v>230</v>
      </c>
      <c r="G270" s="19" t="s">
        <v>84</v>
      </c>
      <c r="H270" s="20" t="s">
        <v>8</v>
      </c>
      <c r="I270" s="18" t="s">
        <v>71</v>
      </c>
      <c r="J270" s="19" t="s">
        <v>166</v>
      </c>
      <c r="K270" s="19" t="str">
        <f>_xlfn.XLOOKUP(L270,Values!$A$137:$A$140,Values!$B$137:$B$140)</f>
        <v>1 bis 25</v>
      </c>
      <c r="L270" s="21">
        <v>6</v>
      </c>
      <c r="M270" s="19" t="s">
        <v>10</v>
      </c>
      <c r="O270" s="40">
        <v>1</v>
      </c>
      <c r="Q270" s="55">
        <v>20</v>
      </c>
      <c r="S270" s="24">
        <f t="shared" ref="S270:S284" si="69">+(O270*Q270)</f>
        <v>20</v>
      </c>
      <c r="T270" s="25">
        <f t="shared" si="67"/>
        <v>3.3333333333333335</v>
      </c>
      <c r="U270" s="25">
        <f>+T270/Start!$C$15</f>
        <v>9.5238095238095247E-2</v>
      </c>
      <c r="V270" s="25">
        <f>+U270/1000*Start!$C$18</f>
        <v>4.7619047619047623E-2</v>
      </c>
      <c r="W270" s="25">
        <f t="shared" si="63"/>
        <v>0</v>
      </c>
      <c r="X270" s="25" t="str">
        <f t="shared" si="64"/>
        <v/>
      </c>
      <c r="Y270" s="25" t="str">
        <f>IF(I270="Strom",T270/Q270/(Start!$C$15),"")</f>
        <v/>
      </c>
      <c r="Z270" s="25" t="str">
        <f t="shared" si="61"/>
        <v/>
      </c>
    </row>
    <row r="271" spans="1:26" ht="15" customHeight="1">
      <c r="A271" s="17">
        <v>270</v>
      </c>
      <c r="B271" s="18" t="s">
        <v>11</v>
      </c>
      <c r="C271" s="18" t="s">
        <v>11</v>
      </c>
      <c r="D271" s="17" t="s">
        <v>230</v>
      </c>
      <c r="E271" s="17" t="s">
        <v>230</v>
      </c>
      <c r="F271" s="17" t="s">
        <v>230</v>
      </c>
      <c r="G271" s="19" t="s">
        <v>84</v>
      </c>
      <c r="H271" s="20" t="s">
        <v>8</v>
      </c>
      <c r="I271" s="18" t="s">
        <v>79</v>
      </c>
      <c r="J271" s="19" t="s">
        <v>165</v>
      </c>
      <c r="K271" s="19" t="str">
        <f>_xlfn.XLOOKUP(L271,Values!$A$137:$A$140,Values!$B$137:$B$140)</f>
        <v>1 bis 25</v>
      </c>
      <c r="L271" s="21">
        <v>6</v>
      </c>
      <c r="M271" s="19" t="s">
        <v>10</v>
      </c>
      <c r="N271" s="48"/>
      <c r="O271" s="40">
        <v>1</v>
      </c>
      <c r="P271" s="48"/>
      <c r="Q271" s="55">
        <v>11.65</v>
      </c>
      <c r="S271" s="24">
        <f t="shared" si="69"/>
        <v>11.65</v>
      </c>
      <c r="T271" s="25">
        <f t="shared" si="67"/>
        <v>1.9416666666666667</v>
      </c>
      <c r="U271" s="25">
        <f>+T271/Start!$C$15</f>
        <v>5.5476190476190478E-2</v>
      </c>
      <c r="V271" s="25">
        <f>+U271/1000*Start!$C$18</f>
        <v>2.7738095238095239E-2</v>
      </c>
      <c r="W271" s="25">
        <f t="shared" si="63"/>
        <v>0</v>
      </c>
      <c r="X271" s="25" t="str">
        <f t="shared" si="64"/>
        <v/>
      </c>
      <c r="Y271" s="25" t="str">
        <f>IF(I271="Strom",T271/Q271/(Start!$C$15),"")</f>
        <v/>
      </c>
      <c r="Z271" s="25" t="str">
        <f t="shared" si="61"/>
        <v/>
      </c>
    </row>
    <row r="272" spans="1:26" ht="15" customHeight="1">
      <c r="A272" s="17">
        <v>271</v>
      </c>
      <c r="B272" s="18" t="s">
        <v>11</v>
      </c>
      <c r="C272" s="18" t="s">
        <v>11</v>
      </c>
      <c r="D272" s="17" t="s">
        <v>230</v>
      </c>
      <c r="E272" s="17" t="s">
        <v>230</v>
      </c>
      <c r="F272" s="17" t="s">
        <v>230</v>
      </c>
      <c r="G272" s="19" t="s">
        <v>84</v>
      </c>
      <c r="H272" s="20" t="s">
        <v>8</v>
      </c>
      <c r="I272" s="18" t="s">
        <v>167</v>
      </c>
      <c r="J272" s="19" t="s">
        <v>168</v>
      </c>
      <c r="K272" s="19" t="str">
        <f>_xlfn.XLOOKUP(L272,Values!$A$137:$A$140,Values!$B$137:$B$140)</f>
        <v>26 bis 70</v>
      </c>
      <c r="L272" s="51">
        <v>26</v>
      </c>
      <c r="M272" s="19" t="s">
        <v>10</v>
      </c>
      <c r="O272" s="40">
        <v>1</v>
      </c>
      <c r="Q272" s="55">
        <v>47.6</v>
      </c>
      <c r="S272" s="24">
        <f t="shared" si="69"/>
        <v>47.6</v>
      </c>
      <c r="T272" s="25">
        <f t="shared" si="67"/>
        <v>1.8307692307692309</v>
      </c>
      <c r="U272" s="25">
        <f>+T272/Start!$C$15</f>
        <v>5.2307692307692312E-2</v>
      </c>
      <c r="V272" s="25">
        <f>+U272/1000*Start!$C$18</f>
        <v>2.6153846153846156E-2</v>
      </c>
      <c r="W272" s="25">
        <f t="shared" si="63"/>
        <v>0</v>
      </c>
      <c r="X272" s="25" t="str">
        <f t="shared" si="64"/>
        <v/>
      </c>
      <c r="Y272" s="25" t="str">
        <f>IF(I272="Strom",T272/Q272/(Start!$C$15),"")</f>
        <v/>
      </c>
      <c r="Z272" s="25" t="str">
        <f t="shared" si="61"/>
        <v/>
      </c>
    </row>
    <row r="273" spans="1:26" ht="15" customHeight="1">
      <c r="A273" s="17">
        <v>272</v>
      </c>
      <c r="B273" s="18" t="s">
        <v>11</v>
      </c>
      <c r="C273" s="18" t="s">
        <v>11</v>
      </c>
      <c r="D273" s="17" t="s">
        <v>230</v>
      </c>
      <c r="E273" s="17" t="s">
        <v>230</v>
      </c>
      <c r="F273" s="17" t="s">
        <v>230</v>
      </c>
      <c r="G273" s="19" t="s">
        <v>84</v>
      </c>
      <c r="H273" s="20" t="s">
        <v>8</v>
      </c>
      <c r="I273" s="18" t="s">
        <v>71</v>
      </c>
      <c r="J273" s="19" t="s">
        <v>168</v>
      </c>
      <c r="K273" s="19" t="str">
        <f>_xlfn.XLOOKUP(L273,Values!$A$137:$A$140,Values!$B$137:$B$140)</f>
        <v>26 bis 70</v>
      </c>
      <c r="L273" s="51">
        <v>26</v>
      </c>
      <c r="M273" s="19" t="s">
        <v>10</v>
      </c>
      <c r="N273" s="48"/>
      <c r="O273" s="40">
        <v>1</v>
      </c>
      <c r="P273" s="48"/>
      <c r="Q273" s="55">
        <v>164.82</v>
      </c>
      <c r="S273" s="24">
        <f t="shared" si="69"/>
        <v>164.82</v>
      </c>
      <c r="T273" s="25">
        <f t="shared" si="67"/>
        <v>6.3392307692307686</v>
      </c>
      <c r="U273" s="25">
        <f>+T273/Start!$C$15</f>
        <v>0.1811208791208791</v>
      </c>
      <c r="V273" s="25">
        <f>+U273/1000*Start!$C$18</f>
        <v>9.0560439560439548E-2</v>
      </c>
      <c r="W273" s="25">
        <f t="shared" si="63"/>
        <v>0</v>
      </c>
      <c r="X273" s="25" t="str">
        <f t="shared" si="64"/>
        <v/>
      </c>
      <c r="Y273" s="25" t="str">
        <f>IF(I273="Strom",T273/Q273/(Start!$C$15),"")</f>
        <v/>
      </c>
      <c r="Z273" s="25" t="str">
        <f t="shared" si="61"/>
        <v/>
      </c>
    </row>
    <row r="274" spans="1:26" ht="15" customHeight="1">
      <c r="A274" s="17">
        <v>273</v>
      </c>
      <c r="B274" s="18" t="s">
        <v>11</v>
      </c>
      <c r="C274" s="18" t="s">
        <v>11</v>
      </c>
      <c r="D274" s="17" t="s">
        <v>230</v>
      </c>
      <c r="E274" s="17" t="s">
        <v>230</v>
      </c>
      <c r="F274" s="17" t="s">
        <v>230</v>
      </c>
      <c r="G274" s="19" t="s">
        <v>84</v>
      </c>
      <c r="H274" s="20" t="s">
        <v>8</v>
      </c>
      <c r="I274" s="18" t="s">
        <v>170</v>
      </c>
      <c r="J274" s="19" t="s">
        <v>168</v>
      </c>
      <c r="K274" s="19" t="str">
        <f>_xlfn.XLOOKUP(L274,Values!$A$137:$A$140,Values!$B$137:$B$140)</f>
        <v>26 bis 70</v>
      </c>
      <c r="L274" s="51">
        <v>26</v>
      </c>
      <c r="M274" s="19" t="s">
        <v>10</v>
      </c>
      <c r="N274" s="48"/>
      <c r="O274" s="40">
        <v>1</v>
      </c>
      <c r="P274" s="48"/>
      <c r="Q274" s="55">
        <v>5.96</v>
      </c>
      <c r="S274" s="24">
        <f t="shared" si="69"/>
        <v>5.96</v>
      </c>
      <c r="T274" s="25">
        <f t="shared" si="67"/>
        <v>0.22923076923076924</v>
      </c>
      <c r="U274" s="25">
        <f>+T274/Start!$C$15</f>
        <v>6.5494505494505494E-3</v>
      </c>
      <c r="V274" s="25">
        <f>+U274/1000*Start!$C$18</f>
        <v>3.2747252747252747E-3</v>
      </c>
      <c r="W274" s="25">
        <f t="shared" si="63"/>
        <v>0</v>
      </c>
      <c r="X274" s="25" t="str">
        <f t="shared" si="64"/>
        <v/>
      </c>
      <c r="Y274" s="25" t="str">
        <f>IF(I274="Strom",T274/Q274/(Start!$C$15),"")</f>
        <v/>
      </c>
      <c r="Z274" s="25" t="str">
        <f t="shared" si="61"/>
        <v/>
      </c>
    </row>
    <row r="275" spans="1:26" ht="15" customHeight="1">
      <c r="A275" s="17">
        <v>274</v>
      </c>
      <c r="B275" s="18" t="s">
        <v>11</v>
      </c>
      <c r="C275" s="18" t="s">
        <v>11</v>
      </c>
      <c r="D275" s="17" t="s">
        <v>230</v>
      </c>
      <c r="E275" s="17" t="s">
        <v>230</v>
      </c>
      <c r="F275" s="17" t="s">
        <v>230</v>
      </c>
      <c r="G275" s="19" t="s">
        <v>84</v>
      </c>
      <c r="H275" s="20" t="s">
        <v>8</v>
      </c>
      <c r="I275" s="18" t="s">
        <v>169</v>
      </c>
      <c r="J275" s="19" t="s">
        <v>168</v>
      </c>
      <c r="K275" s="19" t="str">
        <f>_xlfn.XLOOKUP(L275,Values!$A$137:$A$140,Values!$B$137:$B$140)</f>
        <v>26 bis 70</v>
      </c>
      <c r="L275" s="51">
        <v>26</v>
      </c>
      <c r="M275" s="19" t="s">
        <v>10</v>
      </c>
      <c r="N275" s="48"/>
      <c r="O275" s="40">
        <v>1</v>
      </c>
      <c r="P275" s="48"/>
      <c r="Q275" s="55">
        <v>36</v>
      </c>
      <c r="S275" s="24">
        <f t="shared" si="69"/>
        <v>36</v>
      </c>
      <c r="T275" s="25">
        <f t="shared" si="67"/>
        <v>1.3846153846153846</v>
      </c>
      <c r="U275" s="25">
        <f>+T275/Start!$C$15</f>
        <v>3.9560439560439559E-2</v>
      </c>
      <c r="V275" s="25">
        <f>+U275/1000*Start!$C$18</f>
        <v>1.9780219780219779E-2</v>
      </c>
      <c r="W275" s="25">
        <f t="shared" si="63"/>
        <v>0</v>
      </c>
      <c r="X275" s="25" t="str">
        <f t="shared" si="64"/>
        <v/>
      </c>
      <c r="Y275" s="25" t="str">
        <f>IF(I275="Strom",T275/Q275/(Start!$C$15),"")</f>
        <v/>
      </c>
      <c r="Z275" s="25" t="str">
        <f t="shared" si="61"/>
        <v/>
      </c>
    </row>
    <row r="276" spans="1:26" ht="15" customHeight="1">
      <c r="A276" s="17">
        <v>275</v>
      </c>
      <c r="B276" s="18" t="s">
        <v>11</v>
      </c>
      <c r="C276" s="18" t="s">
        <v>11</v>
      </c>
      <c r="D276" s="17" t="s">
        <v>230</v>
      </c>
      <c r="E276" s="17" t="s">
        <v>230</v>
      </c>
      <c r="F276" s="17" t="s">
        <v>230</v>
      </c>
      <c r="G276" s="19" t="s">
        <v>84</v>
      </c>
      <c r="H276" s="20" t="s">
        <v>8</v>
      </c>
      <c r="I276" s="18" t="s">
        <v>167</v>
      </c>
      <c r="J276" s="19" t="s">
        <v>168</v>
      </c>
      <c r="K276" s="19" t="str">
        <f>_xlfn.XLOOKUP(L276,Values!$A$137:$A$140,Values!$B$137:$B$140)</f>
        <v>71 bis 149</v>
      </c>
      <c r="L276" s="52">
        <v>71</v>
      </c>
      <c r="M276" s="19" t="s">
        <v>10</v>
      </c>
      <c r="O276" s="40">
        <v>1</v>
      </c>
      <c r="Q276" s="55">
        <v>52.32</v>
      </c>
      <c r="S276" s="24">
        <f t="shared" si="69"/>
        <v>52.32</v>
      </c>
      <c r="T276" s="25">
        <f t="shared" si="67"/>
        <v>0.73690140845070418</v>
      </c>
      <c r="U276" s="25">
        <f>+T276/Start!$C$15</f>
        <v>2.1054325955734404E-2</v>
      </c>
      <c r="V276" s="25">
        <f>+U276/1000*Start!$C$18</f>
        <v>1.0527162977867202E-2</v>
      </c>
      <c r="W276" s="25">
        <f t="shared" si="63"/>
        <v>0</v>
      </c>
      <c r="X276" s="25" t="str">
        <f t="shared" si="64"/>
        <v/>
      </c>
      <c r="Y276" s="25" t="str">
        <f>IF(I276="Strom",T276/Q276/(Start!$C$15),"")</f>
        <v/>
      </c>
      <c r="Z276" s="25" t="str">
        <f t="shared" si="61"/>
        <v/>
      </c>
    </row>
    <row r="277" spans="1:26" ht="15" customHeight="1">
      <c r="A277" s="17">
        <v>276</v>
      </c>
      <c r="B277" s="18" t="s">
        <v>11</v>
      </c>
      <c r="C277" s="18" t="s">
        <v>11</v>
      </c>
      <c r="D277" s="17" t="s">
        <v>230</v>
      </c>
      <c r="E277" s="17" t="s">
        <v>230</v>
      </c>
      <c r="F277" s="17" t="s">
        <v>230</v>
      </c>
      <c r="G277" s="19" t="s">
        <v>84</v>
      </c>
      <c r="H277" s="20" t="s">
        <v>8</v>
      </c>
      <c r="I277" s="18" t="s">
        <v>71</v>
      </c>
      <c r="J277" s="19" t="s">
        <v>168</v>
      </c>
      <c r="K277" s="19" t="str">
        <f>_xlfn.XLOOKUP(L277,Values!$A$137:$A$140,Values!$B$137:$B$140)</f>
        <v>71 bis 149</v>
      </c>
      <c r="L277" s="52">
        <v>71</v>
      </c>
      <c r="M277" s="19" t="s">
        <v>10</v>
      </c>
      <c r="N277" s="48"/>
      <c r="O277" s="40">
        <v>1</v>
      </c>
      <c r="P277" s="48"/>
      <c r="Q277" s="55">
        <v>277.27999999999997</v>
      </c>
      <c r="S277" s="24">
        <f t="shared" si="69"/>
        <v>277.27999999999997</v>
      </c>
      <c r="T277" s="25">
        <f t="shared" si="67"/>
        <v>3.9053521126760558</v>
      </c>
      <c r="U277" s="25">
        <f>+T277/Start!$C$15</f>
        <v>0.11158148893360159</v>
      </c>
      <c r="V277" s="25">
        <f>+U277/1000*Start!$C$18</f>
        <v>5.5790744466800796E-2</v>
      </c>
      <c r="W277" s="25">
        <f t="shared" si="63"/>
        <v>0</v>
      </c>
      <c r="X277" s="25" t="str">
        <f t="shared" si="64"/>
        <v/>
      </c>
      <c r="Y277" s="25" t="str">
        <f>IF(I277="Strom",T277/Q277/(Start!$C$15),"")</f>
        <v/>
      </c>
      <c r="Z277" s="25" t="str">
        <f t="shared" ref="Z277:Z333" si="70">IF(H277="KFZ",U277/Q277,"")</f>
        <v/>
      </c>
    </row>
    <row r="278" spans="1:26" ht="15" customHeight="1">
      <c r="A278" s="17">
        <v>277</v>
      </c>
      <c r="B278" s="18" t="s">
        <v>11</v>
      </c>
      <c r="C278" s="18" t="s">
        <v>11</v>
      </c>
      <c r="D278" s="17" t="s">
        <v>230</v>
      </c>
      <c r="E278" s="17" t="s">
        <v>230</v>
      </c>
      <c r="F278" s="17" t="s">
        <v>230</v>
      </c>
      <c r="G278" s="19" t="s">
        <v>84</v>
      </c>
      <c r="H278" s="20" t="s">
        <v>8</v>
      </c>
      <c r="I278" s="18" t="s">
        <v>170</v>
      </c>
      <c r="J278" s="19" t="s">
        <v>168</v>
      </c>
      <c r="K278" s="19" t="str">
        <f>_xlfn.XLOOKUP(L278,Values!$A$137:$A$140,Values!$B$137:$B$140)</f>
        <v>71 bis 149</v>
      </c>
      <c r="L278" s="52">
        <v>71</v>
      </c>
      <c r="M278" s="19" t="s">
        <v>10</v>
      </c>
      <c r="N278" s="48"/>
      <c r="O278" s="40">
        <v>1</v>
      </c>
      <c r="P278" s="48"/>
      <c r="Q278" s="55">
        <v>9.52</v>
      </c>
      <c r="S278" s="24">
        <f t="shared" si="69"/>
        <v>9.52</v>
      </c>
      <c r="T278" s="25">
        <f t="shared" si="67"/>
        <v>0.13408450704225353</v>
      </c>
      <c r="U278" s="25">
        <f>+T278/Start!$C$15</f>
        <v>3.8309859154929578E-3</v>
      </c>
      <c r="V278" s="25">
        <f>+U278/1000*Start!$C$18</f>
        <v>1.9154929577464791E-3</v>
      </c>
      <c r="W278" s="25">
        <f t="shared" si="63"/>
        <v>0</v>
      </c>
      <c r="X278" s="25" t="str">
        <f t="shared" si="64"/>
        <v/>
      </c>
      <c r="Y278" s="25" t="str">
        <f>IF(I278="Strom",T278/Q278/(Start!$C$15),"")</f>
        <v/>
      </c>
      <c r="Z278" s="25" t="str">
        <f t="shared" si="70"/>
        <v/>
      </c>
    </row>
    <row r="279" spans="1:26" ht="15" customHeight="1">
      <c r="A279" s="17">
        <v>278</v>
      </c>
      <c r="B279" s="18" t="s">
        <v>11</v>
      </c>
      <c r="C279" s="18" t="s">
        <v>11</v>
      </c>
      <c r="D279" s="17" t="s">
        <v>230</v>
      </c>
      <c r="E279" s="17" t="s">
        <v>230</v>
      </c>
      <c r="F279" s="17" t="s">
        <v>230</v>
      </c>
      <c r="G279" s="19" t="s">
        <v>84</v>
      </c>
      <c r="H279" s="20" t="s">
        <v>8</v>
      </c>
      <c r="I279" s="18" t="s">
        <v>169</v>
      </c>
      <c r="J279" s="19" t="s">
        <v>168</v>
      </c>
      <c r="K279" s="19" t="str">
        <f>_xlfn.XLOOKUP(L279,Values!$A$137:$A$140,Values!$B$137:$B$140)</f>
        <v>71 bis 149</v>
      </c>
      <c r="L279" s="52">
        <v>71</v>
      </c>
      <c r="M279" s="19" t="s">
        <v>10</v>
      </c>
      <c r="N279" s="48"/>
      <c r="O279" s="40">
        <v>1</v>
      </c>
      <c r="P279" s="48"/>
      <c r="Q279" s="55">
        <v>50</v>
      </c>
      <c r="S279" s="24">
        <f t="shared" si="69"/>
        <v>50</v>
      </c>
      <c r="T279" s="25">
        <f t="shared" si="67"/>
        <v>0.70422535211267601</v>
      </c>
      <c r="U279" s="25">
        <f>+T279/Start!$C$15</f>
        <v>2.0120724346076459E-2</v>
      </c>
      <c r="V279" s="25">
        <f>+U279/1000*Start!$C$18</f>
        <v>1.0060362173038229E-2</v>
      </c>
      <c r="W279" s="25">
        <f t="shared" si="63"/>
        <v>0</v>
      </c>
      <c r="X279" s="25" t="str">
        <f t="shared" si="64"/>
        <v/>
      </c>
      <c r="Y279" s="25" t="str">
        <f>IF(I279="Strom",T279/Q279/(Start!$C$15),"")</f>
        <v/>
      </c>
      <c r="Z279" s="25" t="str">
        <f t="shared" si="70"/>
        <v/>
      </c>
    </row>
    <row r="280" spans="1:26" ht="15" customHeight="1">
      <c r="A280" s="17">
        <v>279</v>
      </c>
      <c r="B280" s="18" t="s">
        <v>11</v>
      </c>
      <c r="C280" s="18" t="s">
        <v>11</v>
      </c>
      <c r="D280" s="17" t="s">
        <v>230</v>
      </c>
      <c r="E280" s="17" t="s">
        <v>230</v>
      </c>
      <c r="F280" s="17" t="s">
        <v>230</v>
      </c>
      <c r="G280" s="19" t="s">
        <v>84</v>
      </c>
      <c r="H280" s="20" t="s">
        <v>8</v>
      </c>
      <c r="I280" s="18" t="s">
        <v>167</v>
      </c>
      <c r="J280" s="19" t="s">
        <v>168</v>
      </c>
      <c r="K280" s="19" t="str">
        <f>_xlfn.XLOOKUP(L280,Values!$A$137:$A$140,Values!$B$137:$B$140)</f>
        <v>150 und mehr</v>
      </c>
      <c r="L280" s="53">
        <v>150</v>
      </c>
      <c r="M280" s="19" t="s">
        <v>10</v>
      </c>
      <c r="O280" s="40">
        <v>1</v>
      </c>
      <c r="Q280" s="55">
        <v>57.12</v>
      </c>
      <c r="S280" s="24">
        <f t="shared" si="69"/>
        <v>57.12</v>
      </c>
      <c r="T280" s="25">
        <f t="shared" si="67"/>
        <v>0.38079999999999997</v>
      </c>
      <c r="U280" s="25">
        <f>+T280/Start!$C$15</f>
        <v>1.0879999999999999E-2</v>
      </c>
      <c r="V280" s="25">
        <f>+U280/1000*Start!$C$18</f>
        <v>5.4399999999999995E-3</v>
      </c>
      <c r="W280" s="25">
        <f t="shared" si="63"/>
        <v>0</v>
      </c>
      <c r="X280" s="25" t="str">
        <f t="shared" si="64"/>
        <v/>
      </c>
      <c r="Y280" s="25" t="str">
        <f>IF(I280="Strom",T280/Q280/(Start!$C$15),"")</f>
        <v/>
      </c>
      <c r="Z280" s="25" t="str">
        <f t="shared" si="70"/>
        <v/>
      </c>
    </row>
    <row r="281" spans="1:26" ht="15" customHeight="1">
      <c r="A281" s="17">
        <v>280</v>
      </c>
      <c r="B281" s="18" t="s">
        <v>11</v>
      </c>
      <c r="C281" s="18" t="s">
        <v>11</v>
      </c>
      <c r="D281" s="17" t="s">
        <v>230</v>
      </c>
      <c r="E281" s="17" t="s">
        <v>230</v>
      </c>
      <c r="F281" s="17" t="s">
        <v>230</v>
      </c>
      <c r="G281" s="19" t="s">
        <v>84</v>
      </c>
      <c r="H281" s="20" t="s">
        <v>8</v>
      </c>
      <c r="I281" s="18" t="s">
        <v>71</v>
      </c>
      <c r="J281" s="19" t="s">
        <v>168</v>
      </c>
      <c r="K281" s="19" t="str">
        <f>_xlfn.XLOOKUP(L281,Values!$A$137:$A$140,Values!$B$137:$B$140)</f>
        <v>150 und mehr</v>
      </c>
      <c r="L281" s="53">
        <v>150</v>
      </c>
      <c r="M281" s="19" t="s">
        <v>10</v>
      </c>
      <c r="N281" s="48"/>
      <c r="O281" s="40">
        <v>1</v>
      </c>
      <c r="P281" s="48"/>
      <c r="Q281" s="55">
        <v>410.08</v>
      </c>
      <c r="S281" s="24">
        <f t="shared" si="69"/>
        <v>410.08</v>
      </c>
      <c r="T281" s="25">
        <f t="shared" si="67"/>
        <v>2.7338666666666667</v>
      </c>
      <c r="U281" s="25">
        <f>+T281/Start!$C$15</f>
        <v>7.8110476190476189E-2</v>
      </c>
      <c r="V281" s="25">
        <f>+U281/1000*Start!$C$18</f>
        <v>3.9055238095238094E-2</v>
      </c>
      <c r="W281" s="25">
        <f t="shared" si="63"/>
        <v>0</v>
      </c>
      <c r="X281" s="25" t="str">
        <f t="shared" si="64"/>
        <v/>
      </c>
      <c r="Y281" s="25" t="str">
        <f>IF(I281="Strom",T281/Q281/(Start!$C$15),"")</f>
        <v/>
      </c>
      <c r="Z281" s="25" t="str">
        <f t="shared" si="70"/>
        <v/>
      </c>
    </row>
    <row r="282" spans="1:26" ht="15" customHeight="1">
      <c r="A282" s="17">
        <v>281</v>
      </c>
      <c r="B282" s="18" t="s">
        <v>11</v>
      </c>
      <c r="C282" s="18" t="s">
        <v>11</v>
      </c>
      <c r="D282" s="17" t="s">
        <v>230</v>
      </c>
      <c r="E282" s="17" t="s">
        <v>230</v>
      </c>
      <c r="F282" s="17" t="s">
        <v>230</v>
      </c>
      <c r="G282" s="19" t="s">
        <v>84</v>
      </c>
      <c r="H282" s="20" t="s">
        <v>8</v>
      </c>
      <c r="I282" s="18" t="s">
        <v>170</v>
      </c>
      <c r="J282" s="19" t="s">
        <v>168</v>
      </c>
      <c r="K282" s="19" t="str">
        <f>_xlfn.XLOOKUP(L282,Values!$A$137:$A$140,Values!$B$137:$B$140)</f>
        <v>150 und mehr</v>
      </c>
      <c r="L282" s="53">
        <v>150</v>
      </c>
      <c r="M282" s="19" t="s">
        <v>10</v>
      </c>
      <c r="N282" s="48"/>
      <c r="O282" s="40">
        <v>1</v>
      </c>
      <c r="P282" s="48"/>
      <c r="Q282" s="55">
        <v>17.86</v>
      </c>
      <c r="S282" s="24">
        <f t="shared" si="69"/>
        <v>17.86</v>
      </c>
      <c r="T282" s="25">
        <f t="shared" si="67"/>
        <v>0.11906666666666667</v>
      </c>
      <c r="U282" s="25">
        <f>+T282/Start!$C$15</f>
        <v>3.4019047619047618E-3</v>
      </c>
      <c r="V282" s="25">
        <f>+U282/1000*Start!$C$18</f>
        <v>1.7009523809523809E-3</v>
      </c>
      <c r="W282" s="25">
        <f t="shared" si="63"/>
        <v>0</v>
      </c>
      <c r="X282" s="25" t="str">
        <f t="shared" si="64"/>
        <v/>
      </c>
      <c r="Y282" s="25" t="str">
        <f>IF(I282="Strom",T282/Q282/(Start!$C$15),"")</f>
        <v/>
      </c>
      <c r="Z282" s="25" t="str">
        <f t="shared" si="70"/>
        <v/>
      </c>
    </row>
    <row r="283" spans="1:26" ht="15" customHeight="1">
      <c r="A283" s="17">
        <v>282</v>
      </c>
      <c r="B283" s="18" t="s">
        <v>11</v>
      </c>
      <c r="C283" s="18" t="s">
        <v>11</v>
      </c>
      <c r="D283" s="17" t="s">
        <v>230</v>
      </c>
      <c r="E283" s="17" t="s">
        <v>230</v>
      </c>
      <c r="F283" s="17" t="s">
        <v>230</v>
      </c>
      <c r="G283" s="19" t="s">
        <v>84</v>
      </c>
      <c r="H283" s="20" t="s">
        <v>8</v>
      </c>
      <c r="I283" s="18" t="s">
        <v>169</v>
      </c>
      <c r="J283" s="19" t="s">
        <v>168</v>
      </c>
      <c r="K283" s="19" t="str">
        <f>_xlfn.XLOOKUP(L283,Values!$A$137:$A$140,Values!$B$137:$B$140)</f>
        <v>150 und mehr</v>
      </c>
      <c r="L283" s="53">
        <v>150</v>
      </c>
      <c r="M283" s="19" t="s">
        <v>10</v>
      </c>
      <c r="N283" s="48"/>
      <c r="O283" s="40">
        <v>1</v>
      </c>
      <c r="P283" s="48"/>
      <c r="Q283" s="55">
        <v>80</v>
      </c>
      <c r="S283" s="24">
        <f t="shared" si="69"/>
        <v>80</v>
      </c>
      <c r="T283" s="25">
        <f t="shared" si="67"/>
        <v>0.53333333333333333</v>
      </c>
      <c r="U283" s="25">
        <f>+T283/Start!$C$15</f>
        <v>1.5238095238095238E-2</v>
      </c>
      <c r="V283" s="25">
        <f>+U283/1000*Start!$C$18</f>
        <v>7.619047619047619E-3</v>
      </c>
      <c r="W283" s="25">
        <f t="shared" si="63"/>
        <v>0</v>
      </c>
      <c r="X283" s="25" t="str">
        <f t="shared" si="64"/>
        <v/>
      </c>
      <c r="Y283" s="25" t="str">
        <f>IF(I283="Strom",T283/Q283/(Start!$C$15),"")</f>
        <v/>
      </c>
      <c r="Z283" s="25" t="str">
        <f t="shared" si="70"/>
        <v/>
      </c>
    </row>
    <row r="284" spans="1:26" ht="15" customHeight="1">
      <c r="A284" s="17">
        <v>283</v>
      </c>
      <c r="B284" s="18" t="s">
        <v>11</v>
      </c>
      <c r="C284" s="18" t="s">
        <v>11</v>
      </c>
      <c r="D284" s="17" t="s">
        <v>230</v>
      </c>
      <c r="E284" s="17" t="s">
        <v>230</v>
      </c>
      <c r="F284" s="17" t="s">
        <v>230</v>
      </c>
      <c r="G284" s="19" t="s">
        <v>84</v>
      </c>
      <c r="H284" s="20" t="s">
        <v>176</v>
      </c>
      <c r="I284" s="18" t="s">
        <v>75</v>
      </c>
      <c r="J284" s="19" t="s">
        <v>9</v>
      </c>
      <c r="K284" s="19" t="str">
        <f>_xlfn.XLOOKUP(L284,Values!$A$137:$A$140,Values!$B$137:$B$140)</f>
        <v>1 bis 25</v>
      </c>
      <c r="L284" s="21">
        <v>6</v>
      </c>
      <c r="M284" s="19" t="s">
        <v>10</v>
      </c>
      <c r="O284" s="40">
        <v>1</v>
      </c>
      <c r="P284" s="32"/>
      <c r="Q284" s="79">
        <v>3.58</v>
      </c>
      <c r="S284" s="24">
        <f t="shared" si="69"/>
        <v>3.58</v>
      </c>
      <c r="T284" s="25">
        <f t="shared" si="67"/>
        <v>0.59666666666666668</v>
      </c>
      <c r="U284" s="25">
        <f>+T284/Start!$C$15</f>
        <v>1.7047619047619048E-2</v>
      </c>
      <c r="V284" s="25">
        <f>+U284/1000*Start!$C$18</f>
        <v>8.5238095238095238E-3</v>
      </c>
      <c r="W284" s="25">
        <f t="shared" si="63"/>
        <v>0</v>
      </c>
      <c r="X284" s="25" t="str">
        <f t="shared" si="64"/>
        <v/>
      </c>
      <c r="Y284" s="25" t="str">
        <f>IF(I284="Strom",T284/Q284/(Start!$C$15),"")</f>
        <v/>
      </c>
      <c r="Z284" s="25" t="str">
        <f t="shared" si="70"/>
        <v/>
      </c>
    </row>
    <row r="285" spans="1:26" ht="15" customHeight="1">
      <c r="A285" s="17">
        <v>284</v>
      </c>
      <c r="B285" s="18" t="s">
        <v>11</v>
      </c>
      <c r="C285" s="18" t="s">
        <v>11</v>
      </c>
      <c r="D285" s="17" t="s">
        <v>230</v>
      </c>
      <c r="E285" s="17" t="s">
        <v>230</v>
      </c>
      <c r="F285" s="17" t="s">
        <v>230</v>
      </c>
      <c r="G285" s="19" t="s">
        <v>84</v>
      </c>
      <c r="H285" s="20" t="s">
        <v>176</v>
      </c>
      <c r="I285" s="18" t="s">
        <v>74</v>
      </c>
      <c r="J285" s="19" t="s">
        <v>9</v>
      </c>
      <c r="K285" s="19" t="str">
        <f>_xlfn.XLOOKUP(L285,Values!$A$137:$A$140,Values!$B$137:$B$140)</f>
        <v>1 bis 25</v>
      </c>
      <c r="L285" s="21">
        <v>6</v>
      </c>
      <c r="M285" s="19" t="s">
        <v>5</v>
      </c>
      <c r="O285" s="40">
        <v>1</v>
      </c>
      <c r="P285" s="32"/>
      <c r="Q285" s="79">
        <v>0.26</v>
      </c>
      <c r="S285" s="24">
        <f>+(O285*Q285)*L285</f>
        <v>1.56</v>
      </c>
      <c r="T285" s="25">
        <f t="shared" si="67"/>
        <v>0.26</v>
      </c>
      <c r="U285" s="25">
        <f>+T285/Start!$C$15</f>
        <v>7.4285714285714285E-3</v>
      </c>
      <c r="V285" s="25">
        <f>+U285/1000*Start!$C$18</f>
        <v>3.7142857142857142E-3</v>
      </c>
      <c r="W285" s="25">
        <f t="shared" si="63"/>
        <v>0</v>
      </c>
      <c r="X285" s="25" t="str">
        <f t="shared" si="64"/>
        <v/>
      </c>
      <c r="Y285" s="25" t="str">
        <f>IF(I285="Strom",T285/Q285/(Start!$C$15),"")</f>
        <v/>
      </c>
      <c r="Z285" s="25" t="str">
        <f t="shared" si="70"/>
        <v/>
      </c>
    </row>
    <row r="286" spans="1:26" ht="15" customHeight="1">
      <c r="A286" s="17">
        <v>285</v>
      </c>
      <c r="B286" s="18" t="s">
        <v>11</v>
      </c>
      <c r="C286" s="18" t="s">
        <v>11</v>
      </c>
      <c r="D286" s="17" t="s">
        <v>230</v>
      </c>
      <c r="E286" s="17" t="s">
        <v>230</v>
      </c>
      <c r="F286" s="17" t="s">
        <v>230</v>
      </c>
      <c r="G286" s="19" t="s">
        <v>84</v>
      </c>
      <c r="H286" s="20" t="s">
        <v>176</v>
      </c>
      <c r="I286" s="18" t="s">
        <v>76</v>
      </c>
      <c r="J286" s="19" t="s">
        <v>164</v>
      </c>
      <c r="K286" s="19" t="str">
        <f>_xlfn.XLOOKUP(L286,Values!$A$137:$A$140,Values!$B$137:$B$140)</f>
        <v>1 bis 25</v>
      </c>
      <c r="L286" s="21">
        <v>6</v>
      </c>
      <c r="M286" s="19" t="s">
        <v>10</v>
      </c>
      <c r="O286" s="40">
        <v>1</v>
      </c>
      <c r="P286" s="32"/>
      <c r="Q286" s="79">
        <v>14</v>
      </c>
      <c r="S286" s="24">
        <f>+(O286*Q286)</f>
        <v>14</v>
      </c>
      <c r="T286" s="25">
        <f t="shared" si="67"/>
        <v>2.3333333333333335</v>
      </c>
      <c r="U286" s="25">
        <f>+T286/Start!$C$15</f>
        <v>6.6666666666666666E-2</v>
      </c>
      <c r="V286" s="25">
        <f>+U286/1000*Start!$C$18</f>
        <v>3.3333333333333333E-2</v>
      </c>
      <c r="W286" s="25">
        <f t="shared" si="63"/>
        <v>0</v>
      </c>
      <c r="X286" s="25" t="str">
        <f t="shared" si="64"/>
        <v/>
      </c>
      <c r="Y286" s="25" t="str">
        <f>IF(I286="Strom",T286/Q286/(Start!$C$15),"")</f>
        <v/>
      </c>
      <c r="Z286" s="25" t="str">
        <f t="shared" si="70"/>
        <v/>
      </c>
    </row>
    <row r="287" spans="1:26" ht="15" customHeight="1">
      <c r="A287" s="17">
        <v>286</v>
      </c>
      <c r="B287" s="18" t="s">
        <v>11</v>
      </c>
      <c r="C287" s="18" t="s">
        <v>11</v>
      </c>
      <c r="D287" s="17" t="s">
        <v>230</v>
      </c>
      <c r="E287" s="17" t="s">
        <v>230</v>
      </c>
      <c r="F287" s="17" t="s">
        <v>230</v>
      </c>
      <c r="G287" s="19" t="s">
        <v>84</v>
      </c>
      <c r="H287" s="20" t="s">
        <v>176</v>
      </c>
      <c r="I287" s="18" t="s">
        <v>77</v>
      </c>
      <c r="J287" s="19" t="s">
        <v>78</v>
      </c>
      <c r="K287" s="19" t="str">
        <f>_xlfn.XLOOKUP(L287,Values!$A$137:$A$140,Values!$B$137:$B$140)</f>
        <v>1 bis 25</v>
      </c>
      <c r="L287" s="21">
        <v>6</v>
      </c>
      <c r="M287" s="19" t="s">
        <v>10</v>
      </c>
      <c r="O287" s="40">
        <v>1</v>
      </c>
      <c r="P287" s="32"/>
      <c r="Q287" s="79">
        <v>40</v>
      </c>
      <c r="S287" s="24">
        <f>+(O287*Q287)</f>
        <v>40</v>
      </c>
      <c r="T287" s="25">
        <f t="shared" si="67"/>
        <v>6.666666666666667</v>
      </c>
      <c r="U287" s="25">
        <f>+T287/Start!$C$15</f>
        <v>0.19047619047619049</v>
      </c>
      <c r="V287" s="25">
        <f>+U287/1000*Start!$C$18</f>
        <v>9.5238095238095247E-2</v>
      </c>
      <c r="W287" s="25">
        <f t="shared" si="63"/>
        <v>0</v>
      </c>
      <c r="X287" s="25" t="str">
        <f t="shared" si="64"/>
        <v/>
      </c>
      <c r="Y287" s="25" t="str">
        <f>IF(I287="Strom",T287/Q287/(Start!$C$15),"")</f>
        <v/>
      </c>
      <c r="Z287" s="25" t="str">
        <f t="shared" si="70"/>
        <v/>
      </c>
    </row>
    <row r="288" spans="1:26" ht="15" customHeight="1">
      <c r="A288" s="17">
        <v>287</v>
      </c>
      <c r="B288" s="18" t="s">
        <v>11</v>
      </c>
      <c r="C288" s="18" t="s">
        <v>11</v>
      </c>
      <c r="D288" s="17" t="s">
        <v>230</v>
      </c>
      <c r="E288" s="17" t="s">
        <v>230</v>
      </c>
      <c r="F288" s="17" t="s">
        <v>230</v>
      </c>
      <c r="G288" s="19" t="s">
        <v>84</v>
      </c>
      <c r="H288" s="20" t="s">
        <v>20</v>
      </c>
      <c r="I288" s="18" t="s">
        <v>68</v>
      </c>
      <c r="J288" s="19" t="s">
        <v>69</v>
      </c>
      <c r="K288" s="19" t="str">
        <f>_xlfn.XLOOKUP(L288,Values!$A$137:$A$140,Values!$B$137:$B$140)</f>
        <v>1 bis 25</v>
      </c>
      <c r="L288" s="21">
        <v>6</v>
      </c>
      <c r="M288" s="19" t="s">
        <v>10</v>
      </c>
      <c r="O288" s="40">
        <v>1</v>
      </c>
      <c r="Q288" s="55">
        <v>66.900000000000006</v>
      </c>
      <c r="S288" s="24">
        <f>+(O288*Q288)</f>
        <v>66.900000000000006</v>
      </c>
      <c r="T288" s="25">
        <f t="shared" si="67"/>
        <v>11.15</v>
      </c>
      <c r="U288" s="25">
        <f>+T288/Start!$C$15</f>
        <v>0.31857142857142856</v>
      </c>
      <c r="V288" s="25">
        <f>+U288/1000*Start!$C$18</f>
        <v>0.15928571428571428</v>
      </c>
      <c r="W288" s="25">
        <f t="shared" si="63"/>
        <v>0</v>
      </c>
      <c r="X288" s="25" t="str">
        <f t="shared" si="64"/>
        <v/>
      </c>
      <c r="Y288" s="25" t="str">
        <f>IF(I288="Strom",T288/Q288/(Start!$C$15),"")</f>
        <v/>
      </c>
      <c r="Z288" s="25" t="str">
        <f t="shared" si="70"/>
        <v/>
      </c>
    </row>
    <row r="289" spans="1:26" ht="15" customHeight="1">
      <c r="A289" s="17">
        <v>288</v>
      </c>
      <c r="B289" s="18" t="s">
        <v>11</v>
      </c>
      <c r="C289" s="18" t="s">
        <v>11</v>
      </c>
      <c r="D289" s="17" t="s">
        <v>230</v>
      </c>
      <c r="E289" s="17" t="s">
        <v>230</v>
      </c>
      <c r="F289" s="17" t="s">
        <v>230</v>
      </c>
      <c r="G289" s="19" t="s">
        <v>84</v>
      </c>
      <c r="H289" s="20" t="s">
        <v>89</v>
      </c>
      <c r="I289" s="18" t="s">
        <v>49</v>
      </c>
      <c r="K289" s="19" t="str">
        <f>_xlfn.XLOOKUP(L289,Values!$A$137:$A$140,Values!$B$137:$B$140)</f>
        <v>1 bis 25</v>
      </c>
      <c r="L289" s="21">
        <v>6</v>
      </c>
      <c r="M289" s="19" t="s">
        <v>10</v>
      </c>
      <c r="O289" s="40">
        <v>1</v>
      </c>
      <c r="Q289" s="55">
        <v>0</v>
      </c>
      <c r="S289" s="24">
        <f>+(O289*Q289)</f>
        <v>0</v>
      </c>
      <c r="T289" s="25">
        <f t="shared" ref="T289:T294" si="71">+S289/L289</f>
        <v>0</v>
      </c>
      <c r="U289" s="25">
        <f>+T289/Start!$C$15</f>
        <v>0</v>
      </c>
      <c r="V289" s="25">
        <f>+U289/1000*Start!$C$18</f>
        <v>0</v>
      </c>
      <c r="W289" s="25">
        <f t="shared" si="63"/>
        <v>0</v>
      </c>
      <c r="X289" s="25" t="str">
        <f t="shared" si="64"/>
        <v/>
      </c>
      <c r="Y289" s="25" t="str">
        <f>IF(I289="Strom",T289/Q289/(Start!$C$15),"")</f>
        <v/>
      </c>
      <c r="Z289" s="25" t="str">
        <f t="shared" si="70"/>
        <v/>
      </c>
    </row>
    <row r="290" spans="1:26" ht="15" customHeight="1">
      <c r="A290" s="17">
        <v>289</v>
      </c>
      <c r="B290" s="18" t="s">
        <v>11</v>
      </c>
      <c r="C290" s="18" t="s">
        <v>11</v>
      </c>
      <c r="D290" s="17" t="s">
        <v>230</v>
      </c>
      <c r="E290" s="17" t="s">
        <v>230</v>
      </c>
      <c r="F290" s="17" t="s">
        <v>230</v>
      </c>
      <c r="G290" s="19" t="s">
        <v>84</v>
      </c>
      <c r="H290" s="20" t="s">
        <v>176</v>
      </c>
      <c r="I290" s="18" t="s">
        <v>75</v>
      </c>
      <c r="J290" s="19" t="s">
        <v>9</v>
      </c>
      <c r="K290" s="19" t="str">
        <f>_xlfn.XLOOKUP(L290,Values!$A$137:$A$140,Values!$B$137:$B$140)</f>
        <v>26 bis 70</v>
      </c>
      <c r="L290" s="51">
        <v>26</v>
      </c>
      <c r="M290" s="19" t="s">
        <v>10</v>
      </c>
      <c r="O290" s="40">
        <v>1</v>
      </c>
      <c r="P290" s="32"/>
      <c r="Q290" s="79">
        <v>3.58</v>
      </c>
      <c r="S290" s="24">
        <f>+(O290*Q290)</f>
        <v>3.58</v>
      </c>
      <c r="T290" s="25">
        <f t="shared" si="71"/>
        <v>0.1376923076923077</v>
      </c>
      <c r="U290" s="25">
        <f>+T290/Start!$C$15</f>
        <v>3.9340659340659345E-3</v>
      </c>
      <c r="V290" s="25">
        <f>+U290/1000*Start!$C$18</f>
        <v>1.9670329670329672E-3</v>
      </c>
      <c r="W290" s="25">
        <f t="shared" si="63"/>
        <v>0</v>
      </c>
      <c r="X290" s="25" t="str">
        <f t="shared" si="64"/>
        <v/>
      </c>
      <c r="Y290" s="25" t="str">
        <f>IF(I290="Strom",T290/Q290/(Start!$C$15),"")</f>
        <v/>
      </c>
      <c r="Z290" s="25" t="str">
        <f t="shared" si="70"/>
        <v/>
      </c>
    </row>
    <row r="291" spans="1:26" ht="15" customHeight="1">
      <c r="A291" s="17">
        <v>290</v>
      </c>
      <c r="B291" s="18" t="s">
        <v>11</v>
      </c>
      <c r="C291" s="18" t="s">
        <v>11</v>
      </c>
      <c r="D291" s="17" t="s">
        <v>230</v>
      </c>
      <c r="E291" s="17" t="s">
        <v>230</v>
      </c>
      <c r="F291" s="17" t="s">
        <v>230</v>
      </c>
      <c r="G291" s="19" t="s">
        <v>84</v>
      </c>
      <c r="H291" s="20" t="s">
        <v>176</v>
      </c>
      <c r="I291" s="18" t="s">
        <v>74</v>
      </c>
      <c r="J291" s="19" t="s">
        <v>9</v>
      </c>
      <c r="K291" s="19" t="str">
        <f>_xlfn.XLOOKUP(L291,Values!$A$137:$A$140,Values!$B$137:$B$140)</f>
        <v>26 bis 70</v>
      </c>
      <c r="L291" s="51">
        <v>26</v>
      </c>
      <c r="M291" s="19" t="s">
        <v>5</v>
      </c>
      <c r="O291" s="40">
        <v>1</v>
      </c>
      <c r="P291" s="32"/>
      <c r="Q291" s="79">
        <v>0.26</v>
      </c>
      <c r="S291" s="24">
        <f>+(O291*Q291)*L291</f>
        <v>6.76</v>
      </c>
      <c r="T291" s="25">
        <f t="shared" si="71"/>
        <v>0.26</v>
      </c>
      <c r="U291" s="25">
        <f>+T291/Start!$C$15</f>
        <v>7.4285714285714285E-3</v>
      </c>
      <c r="V291" s="25">
        <f>+U291/1000*Start!$C$18</f>
        <v>3.7142857142857142E-3</v>
      </c>
      <c r="W291" s="25">
        <f t="shared" ref="W291:W333" si="72">+R291/L291</f>
        <v>0</v>
      </c>
      <c r="X291" s="25" t="str">
        <f t="shared" ref="X291:X333" si="73">IF(H291="Arbeit",S291/Q291/L291,"")</f>
        <v/>
      </c>
      <c r="Y291" s="25" t="str">
        <f>IF(I291="Strom",T291/Q291/(Start!$C$15),"")</f>
        <v/>
      </c>
      <c r="Z291" s="25" t="str">
        <f t="shared" si="70"/>
        <v/>
      </c>
    </row>
    <row r="292" spans="1:26" ht="15" customHeight="1">
      <c r="A292" s="17">
        <v>291</v>
      </c>
      <c r="B292" s="18" t="s">
        <v>11</v>
      </c>
      <c r="C292" s="18" t="s">
        <v>11</v>
      </c>
      <c r="D292" s="17" t="s">
        <v>230</v>
      </c>
      <c r="E292" s="17" t="s">
        <v>230</v>
      </c>
      <c r="F292" s="17" t="s">
        <v>230</v>
      </c>
      <c r="G292" s="19" t="s">
        <v>84</v>
      </c>
      <c r="H292" s="20" t="s">
        <v>176</v>
      </c>
      <c r="I292" s="18" t="s">
        <v>76</v>
      </c>
      <c r="J292" s="19" t="s">
        <v>164</v>
      </c>
      <c r="K292" s="19" t="str">
        <f>_xlfn.XLOOKUP(L292,Values!$A$137:$A$140,Values!$B$137:$B$140)</f>
        <v>26 bis 70</v>
      </c>
      <c r="L292" s="51">
        <v>26</v>
      </c>
      <c r="M292" s="19" t="s">
        <v>10</v>
      </c>
      <c r="O292" s="40">
        <v>1</v>
      </c>
      <c r="P292" s="32"/>
      <c r="Q292" s="79">
        <v>14</v>
      </c>
      <c r="S292" s="24">
        <f>+(O292*Q292)</f>
        <v>14</v>
      </c>
      <c r="T292" s="25">
        <f t="shared" si="71"/>
        <v>0.53846153846153844</v>
      </c>
      <c r="U292" s="25">
        <f>+T292/Start!$C$15</f>
        <v>1.5384615384615384E-2</v>
      </c>
      <c r="V292" s="25">
        <f>+U292/1000*Start!$C$18</f>
        <v>7.6923076923076919E-3</v>
      </c>
      <c r="W292" s="25">
        <f t="shared" si="72"/>
        <v>0</v>
      </c>
      <c r="X292" s="25" t="str">
        <f t="shared" si="73"/>
        <v/>
      </c>
      <c r="Y292" s="25" t="str">
        <f>IF(I292="Strom",T292/Q292/(Start!$C$15),"")</f>
        <v/>
      </c>
      <c r="Z292" s="25" t="str">
        <f t="shared" si="70"/>
        <v/>
      </c>
    </row>
    <row r="293" spans="1:26" ht="15" customHeight="1">
      <c r="A293" s="17">
        <v>292</v>
      </c>
      <c r="B293" s="18" t="s">
        <v>11</v>
      </c>
      <c r="C293" s="18" t="s">
        <v>11</v>
      </c>
      <c r="D293" s="17" t="s">
        <v>230</v>
      </c>
      <c r="E293" s="17" t="s">
        <v>230</v>
      </c>
      <c r="F293" s="17" t="s">
        <v>230</v>
      </c>
      <c r="G293" s="19" t="s">
        <v>84</v>
      </c>
      <c r="H293" s="20" t="s">
        <v>176</v>
      </c>
      <c r="I293" s="18" t="s">
        <v>77</v>
      </c>
      <c r="J293" s="19" t="s">
        <v>78</v>
      </c>
      <c r="K293" s="19" t="str">
        <f>_xlfn.XLOOKUP(L293,Values!$A$137:$A$140,Values!$B$137:$B$140)</f>
        <v>26 bis 70</v>
      </c>
      <c r="L293" s="51">
        <v>26</v>
      </c>
      <c r="M293" s="19" t="s">
        <v>10</v>
      </c>
      <c r="O293" s="40">
        <v>1</v>
      </c>
      <c r="P293" s="32"/>
      <c r="Q293" s="79">
        <v>40</v>
      </c>
      <c r="S293" s="24">
        <f>+(O293*Q293)</f>
        <v>40</v>
      </c>
      <c r="T293" s="25">
        <f t="shared" si="71"/>
        <v>1.5384615384615385</v>
      </c>
      <c r="U293" s="25">
        <f>+T293/Start!$C$15</f>
        <v>4.3956043956043959E-2</v>
      </c>
      <c r="V293" s="25">
        <f>+U293/1000*Start!$C$18</f>
        <v>2.197802197802198E-2</v>
      </c>
      <c r="W293" s="25">
        <f t="shared" si="72"/>
        <v>0</v>
      </c>
      <c r="X293" s="25" t="str">
        <f t="shared" si="73"/>
        <v/>
      </c>
      <c r="Y293" s="25" t="str">
        <f>IF(I293="Strom",T293/Q293/(Start!$C$15),"")</f>
        <v/>
      </c>
      <c r="Z293" s="25" t="str">
        <f t="shared" si="70"/>
        <v/>
      </c>
    </row>
    <row r="294" spans="1:26" ht="15" customHeight="1">
      <c r="A294" s="17">
        <v>293</v>
      </c>
      <c r="B294" s="18" t="s">
        <v>11</v>
      </c>
      <c r="C294" s="18" t="s">
        <v>11</v>
      </c>
      <c r="D294" s="17" t="s">
        <v>230</v>
      </c>
      <c r="E294" s="17" t="s">
        <v>230</v>
      </c>
      <c r="F294" s="17" t="s">
        <v>230</v>
      </c>
      <c r="G294" s="19" t="s">
        <v>84</v>
      </c>
      <c r="H294" s="20" t="s">
        <v>20</v>
      </c>
      <c r="I294" s="18" t="s">
        <v>68</v>
      </c>
      <c r="J294" s="19" t="s">
        <v>69</v>
      </c>
      <c r="K294" s="19" t="str">
        <f>_xlfn.XLOOKUP(L294,Values!$A$137:$A$140,Values!$B$137:$B$140)</f>
        <v>26 bis 70</v>
      </c>
      <c r="L294" s="51">
        <v>26</v>
      </c>
      <c r="M294" s="19" t="s">
        <v>10</v>
      </c>
      <c r="O294" s="40">
        <v>1</v>
      </c>
      <c r="Q294" s="55">
        <v>66.900000000000006</v>
      </c>
      <c r="S294" s="24">
        <f>+(O294*Q294)</f>
        <v>66.900000000000006</v>
      </c>
      <c r="T294" s="25">
        <f t="shared" si="71"/>
        <v>2.5730769230769233</v>
      </c>
      <c r="U294" s="25">
        <f>+T294/Start!$C$15</f>
        <v>7.3516483516483516E-2</v>
      </c>
      <c r="V294" s="25">
        <f>+U294/1000*Start!$C$18</f>
        <v>3.6758241758241758E-2</v>
      </c>
      <c r="W294" s="25">
        <f t="shared" si="72"/>
        <v>0</v>
      </c>
      <c r="X294" s="25" t="str">
        <f t="shared" si="73"/>
        <v/>
      </c>
      <c r="Y294" s="25" t="str">
        <f>IF(I294="Strom",T294/Q294/(Start!$C$15),"")</f>
        <v/>
      </c>
      <c r="Z294" s="25" t="str">
        <f t="shared" si="70"/>
        <v/>
      </c>
    </row>
    <row r="295" spans="1:26" ht="15" customHeight="1">
      <c r="A295" s="17">
        <v>294</v>
      </c>
      <c r="B295" s="18" t="s">
        <v>11</v>
      </c>
      <c r="C295" s="18" t="s">
        <v>11</v>
      </c>
      <c r="D295" s="17" t="s">
        <v>230</v>
      </c>
      <c r="E295" s="17" t="s">
        <v>230</v>
      </c>
      <c r="F295" s="17" t="s">
        <v>230</v>
      </c>
      <c r="G295" s="19" t="s">
        <v>84</v>
      </c>
      <c r="H295" s="20" t="s">
        <v>89</v>
      </c>
      <c r="I295" s="18" t="s">
        <v>49</v>
      </c>
      <c r="K295" s="19" t="str">
        <f>_xlfn.XLOOKUP(L295,Values!$A$137:$A$140,Values!$B$137:$B$140)</f>
        <v>26 bis 70</v>
      </c>
      <c r="L295" s="51">
        <v>26</v>
      </c>
      <c r="M295" s="19" t="s">
        <v>10</v>
      </c>
      <c r="O295" s="40">
        <v>1</v>
      </c>
      <c r="Q295" s="55">
        <v>0</v>
      </c>
      <c r="S295" s="24">
        <f>+(O295*Q295)</f>
        <v>0</v>
      </c>
      <c r="T295" s="25">
        <f t="shared" ref="T295:T301" si="74">+S295/L295</f>
        <v>0</v>
      </c>
      <c r="U295" s="25">
        <f>+T295/Start!$C$15</f>
        <v>0</v>
      </c>
      <c r="V295" s="25">
        <f>+U295/1000*Start!$C$18</f>
        <v>0</v>
      </c>
      <c r="W295" s="25">
        <f t="shared" si="72"/>
        <v>0</v>
      </c>
      <c r="X295" s="25" t="str">
        <f t="shared" si="73"/>
        <v/>
      </c>
      <c r="Y295" s="25" t="str">
        <f>IF(I295="Strom",T295/Q295/(Start!$C$15),"")</f>
        <v/>
      </c>
      <c r="Z295" s="25" t="str">
        <f t="shared" si="70"/>
        <v/>
      </c>
    </row>
    <row r="296" spans="1:26" ht="15" customHeight="1">
      <c r="A296" s="17">
        <v>295</v>
      </c>
      <c r="B296" s="18" t="s">
        <v>11</v>
      </c>
      <c r="C296" s="18" t="s">
        <v>11</v>
      </c>
      <c r="D296" s="17" t="s">
        <v>230</v>
      </c>
      <c r="E296" s="17" t="s">
        <v>230</v>
      </c>
      <c r="F296" s="17" t="s">
        <v>230</v>
      </c>
      <c r="G296" s="19" t="s">
        <v>84</v>
      </c>
      <c r="H296" s="20" t="s">
        <v>176</v>
      </c>
      <c r="I296" s="18" t="s">
        <v>75</v>
      </c>
      <c r="J296" s="19" t="s">
        <v>9</v>
      </c>
      <c r="K296" s="19" t="str">
        <f>_xlfn.XLOOKUP(L296,Values!$A$137:$A$140,Values!$B$137:$B$140)</f>
        <v>71 bis 149</v>
      </c>
      <c r="L296" s="52">
        <v>71</v>
      </c>
      <c r="M296" s="19" t="s">
        <v>10</v>
      </c>
      <c r="O296" s="40">
        <v>1</v>
      </c>
      <c r="P296" s="32"/>
      <c r="Q296" s="79">
        <v>3.58</v>
      </c>
      <c r="S296" s="24">
        <f>+(O296*Q296)</f>
        <v>3.58</v>
      </c>
      <c r="T296" s="25">
        <f t="shared" si="74"/>
        <v>5.0422535211267605E-2</v>
      </c>
      <c r="U296" s="25">
        <f>+T296/Start!$C$15</f>
        <v>1.4406438631790744E-3</v>
      </c>
      <c r="V296" s="25">
        <f>+U296/1000*Start!$C$18</f>
        <v>7.2032193158953718E-4</v>
      </c>
      <c r="W296" s="25">
        <f t="shared" si="72"/>
        <v>0</v>
      </c>
      <c r="X296" s="25" t="str">
        <f t="shared" si="73"/>
        <v/>
      </c>
      <c r="Y296" s="25" t="str">
        <f>IF(I296="Strom",T296/Q296/(Start!$C$15),"")</f>
        <v/>
      </c>
      <c r="Z296" s="25" t="str">
        <f t="shared" si="70"/>
        <v/>
      </c>
    </row>
    <row r="297" spans="1:26" ht="15" customHeight="1">
      <c r="A297" s="17">
        <v>296</v>
      </c>
      <c r="B297" s="18" t="s">
        <v>11</v>
      </c>
      <c r="C297" s="18" t="s">
        <v>11</v>
      </c>
      <c r="D297" s="17" t="s">
        <v>230</v>
      </c>
      <c r="E297" s="17" t="s">
        <v>230</v>
      </c>
      <c r="F297" s="17" t="s">
        <v>230</v>
      </c>
      <c r="G297" s="19" t="s">
        <v>84</v>
      </c>
      <c r="H297" s="20" t="s">
        <v>176</v>
      </c>
      <c r="I297" s="18" t="s">
        <v>74</v>
      </c>
      <c r="J297" s="19" t="s">
        <v>9</v>
      </c>
      <c r="K297" s="19" t="str">
        <f>_xlfn.XLOOKUP(L297,Values!$A$137:$A$140,Values!$B$137:$B$140)</f>
        <v>71 bis 149</v>
      </c>
      <c r="L297" s="52">
        <v>71</v>
      </c>
      <c r="M297" s="19" t="s">
        <v>5</v>
      </c>
      <c r="O297" s="40">
        <v>1</v>
      </c>
      <c r="P297" s="32"/>
      <c r="Q297" s="79">
        <v>0.26</v>
      </c>
      <c r="S297" s="24">
        <f>+(O297*Q297)*L297</f>
        <v>18.46</v>
      </c>
      <c r="T297" s="25">
        <f t="shared" si="74"/>
        <v>0.26</v>
      </c>
      <c r="U297" s="25">
        <f>+T297/Start!$C$15</f>
        <v>7.4285714285714285E-3</v>
      </c>
      <c r="V297" s="25">
        <f>+U297/1000*Start!$C$18</f>
        <v>3.7142857142857142E-3</v>
      </c>
      <c r="W297" s="25">
        <f t="shared" si="72"/>
        <v>0</v>
      </c>
      <c r="X297" s="25" t="str">
        <f t="shared" si="73"/>
        <v/>
      </c>
      <c r="Y297" s="25" t="str">
        <f>IF(I297="Strom",T297/Q297/(Start!$C$15),"")</f>
        <v/>
      </c>
      <c r="Z297" s="25" t="str">
        <f t="shared" si="70"/>
        <v/>
      </c>
    </row>
    <row r="298" spans="1:26" ht="15" customHeight="1">
      <c r="A298" s="17">
        <v>297</v>
      </c>
      <c r="B298" s="18" t="s">
        <v>11</v>
      </c>
      <c r="C298" s="18" t="s">
        <v>11</v>
      </c>
      <c r="D298" s="17" t="s">
        <v>230</v>
      </c>
      <c r="E298" s="17" t="s">
        <v>230</v>
      </c>
      <c r="F298" s="17" t="s">
        <v>230</v>
      </c>
      <c r="G298" s="19" t="s">
        <v>84</v>
      </c>
      <c r="H298" s="20" t="s">
        <v>176</v>
      </c>
      <c r="I298" s="18" t="s">
        <v>76</v>
      </c>
      <c r="J298" s="19" t="s">
        <v>164</v>
      </c>
      <c r="K298" s="19" t="str">
        <f>_xlfn.XLOOKUP(L298,Values!$A$137:$A$140,Values!$B$137:$B$140)</f>
        <v>71 bis 149</v>
      </c>
      <c r="L298" s="52">
        <v>71</v>
      </c>
      <c r="M298" s="19" t="s">
        <v>10</v>
      </c>
      <c r="O298" s="40">
        <v>1</v>
      </c>
      <c r="P298" s="32"/>
      <c r="Q298" s="79">
        <v>14</v>
      </c>
      <c r="S298" s="24">
        <f t="shared" ref="S298:S302" si="75">+(O298*Q298)</f>
        <v>14</v>
      </c>
      <c r="T298" s="25">
        <f t="shared" si="74"/>
        <v>0.19718309859154928</v>
      </c>
      <c r="U298" s="25">
        <f>+T298/Start!$C$15</f>
        <v>5.6338028169014079E-3</v>
      </c>
      <c r="V298" s="25">
        <f>+U298/1000*Start!$C$18</f>
        <v>2.8169014084507039E-3</v>
      </c>
      <c r="W298" s="25">
        <f t="shared" si="72"/>
        <v>0</v>
      </c>
      <c r="X298" s="25" t="str">
        <f t="shared" si="73"/>
        <v/>
      </c>
      <c r="Y298" s="25" t="str">
        <f>IF(I298="Strom",T298/Q298/(Start!$C$15),"")</f>
        <v/>
      </c>
      <c r="Z298" s="25" t="str">
        <f t="shared" si="70"/>
        <v/>
      </c>
    </row>
    <row r="299" spans="1:26" ht="15" customHeight="1">
      <c r="A299" s="17">
        <v>298</v>
      </c>
      <c r="B299" s="18" t="s">
        <v>11</v>
      </c>
      <c r="C299" s="18" t="s">
        <v>11</v>
      </c>
      <c r="D299" s="17" t="s">
        <v>230</v>
      </c>
      <c r="E299" s="17" t="s">
        <v>230</v>
      </c>
      <c r="F299" s="17" t="s">
        <v>230</v>
      </c>
      <c r="G299" s="19" t="s">
        <v>84</v>
      </c>
      <c r="H299" s="20" t="s">
        <v>176</v>
      </c>
      <c r="I299" s="18" t="s">
        <v>77</v>
      </c>
      <c r="J299" s="19" t="s">
        <v>78</v>
      </c>
      <c r="K299" s="19" t="str">
        <f>_xlfn.XLOOKUP(L299,Values!$A$137:$A$140,Values!$B$137:$B$140)</f>
        <v>71 bis 149</v>
      </c>
      <c r="L299" s="52">
        <v>71</v>
      </c>
      <c r="M299" s="19" t="s">
        <v>10</v>
      </c>
      <c r="O299" s="40">
        <v>1</v>
      </c>
      <c r="P299" s="32"/>
      <c r="Q299" s="79">
        <v>40</v>
      </c>
      <c r="S299" s="24">
        <f t="shared" si="75"/>
        <v>40</v>
      </c>
      <c r="T299" s="25">
        <f t="shared" si="74"/>
        <v>0.56338028169014087</v>
      </c>
      <c r="U299" s="25">
        <f>+T299/Start!$C$15</f>
        <v>1.6096579476861168E-2</v>
      </c>
      <c r="V299" s="25">
        <f>+U299/1000*Start!$C$18</f>
        <v>8.0482897384305842E-3</v>
      </c>
      <c r="W299" s="25">
        <f t="shared" si="72"/>
        <v>0</v>
      </c>
      <c r="X299" s="25" t="str">
        <f t="shared" si="73"/>
        <v/>
      </c>
      <c r="Y299" s="25" t="str">
        <f>IF(I299="Strom",T299/Q299/(Start!$C$15),"")</f>
        <v/>
      </c>
      <c r="Z299" s="25" t="str">
        <f t="shared" si="70"/>
        <v/>
      </c>
    </row>
    <row r="300" spans="1:26" ht="15" customHeight="1">
      <c r="A300" s="17">
        <v>299</v>
      </c>
      <c r="B300" s="18" t="s">
        <v>11</v>
      </c>
      <c r="C300" s="18" t="s">
        <v>11</v>
      </c>
      <c r="D300" s="17" t="s">
        <v>230</v>
      </c>
      <c r="E300" s="17" t="s">
        <v>230</v>
      </c>
      <c r="F300" s="17" t="s">
        <v>230</v>
      </c>
      <c r="G300" s="19" t="s">
        <v>84</v>
      </c>
      <c r="H300" s="20" t="s">
        <v>20</v>
      </c>
      <c r="I300" s="18" t="s">
        <v>68</v>
      </c>
      <c r="J300" s="19" t="s">
        <v>69</v>
      </c>
      <c r="K300" s="19" t="str">
        <f>_xlfn.XLOOKUP(L300,Values!$A$137:$A$140,Values!$B$137:$B$140)</f>
        <v>71 bis 149</v>
      </c>
      <c r="L300" s="52">
        <v>71</v>
      </c>
      <c r="M300" s="19" t="s">
        <v>10</v>
      </c>
      <c r="O300" s="40">
        <v>1</v>
      </c>
      <c r="Q300" s="55">
        <v>66.900000000000006</v>
      </c>
      <c r="S300" s="24">
        <f t="shared" si="75"/>
        <v>66.900000000000006</v>
      </c>
      <c r="T300" s="25">
        <f t="shared" si="74"/>
        <v>0.94225352112676064</v>
      </c>
      <c r="U300" s="25">
        <f>+T300/Start!$C$15</f>
        <v>2.6921529175050304E-2</v>
      </c>
      <c r="V300" s="25">
        <f>+U300/1000*Start!$C$18</f>
        <v>1.3460764587525152E-2</v>
      </c>
      <c r="W300" s="25">
        <f t="shared" si="72"/>
        <v>0</v>
      </c>
      <c r="X300" s="25" t="str">
        <f t="shared" si="73"/>
        <v/>
      </c>
      <c r="Y300" s="25" t="str">
        <f>IF(I300="Strom",T300/Q300/(Start!$C$15),"")</f>
        <v/>
      </c>
      <c r="Z300" s="25" t="str">
        <f t="shared" si="70"/>
        <v/>
      </c>
    </row>
    <row r="301" spans="1:26" ht="15" customHeight="1">
      <c r="A301" s="17">
        <v>300</v>
      </c>
      <c r="B301" s="18" t="s">
        <v>11</v>
      </c>
      <c r="C301" s="18" t="s">
        <v>11</v>
      </c>
      <c r="D301" s="17" t="s">
        <v>230</v>
      </c>
      <c r="E301" s="17" t="s">
        <v>230</v>
      </c>
      <c r="F301" s="17" t="s">
        <v>230</v>
      </c>
      <c r="G301" s="19" t="s">
        <v>84</v>
      </c>
      <c r="H301" s="20" t="s">
        <v>89</v>
      </c>
      <c r="I301" s="18" t="s">
        <v>49</v>
      </c>
      <c r="K301" s="19" t="str">
        <f>_xlfn.XLOOKUP(L301,Values!$A$137:$A$140,Values!$B$137:$B$140)</f>
        <v>71 bis 149</v>
      </c>
      <c r="L301" s="52">
        <v>71</v>
      </c>
      <c r="M301" s="19" t="s">
        <v>10</v>
      </c>
      <c r="O301" s="40">
        <v>1</v>
      </c>
      <c r="Q301" s="55">
        <v>700</v>
      </c>
      <c r="S301" s="24">
        <f t="shared" si="75"/>
        <v>700</v>
      </c>
      <c r="T301" s="25">
        <f t="shared" si="74"/>
        <v>9.8591549295774641</v>
      </c>
      <c r="U301" s="25">
        <f>+T301/Start!$C$15</f>
        <v>0.28169014084507038</v>
      </c>
      <c r="V301" s="25">
        <f>+U301/1000*Start!$C$18</f>
        <v>0.14084507042253519</v>
      </c>
      <c r="W301" s="25">
        <f t="shared" si="72"/>
        <v>0</v>
      </c>
      <c r="X301" s="25" t="str">
        <f t="shared" si="73"/>
        <v/>
      </c>
      <c r="Y301" s="25" t="str">
        <f>IF(I301="Strom",T301/Q301/(Start!$C$15),"")</f>
        <v/>
      </c>
      <c r="Z301" s="25" t="str">
        <f t="shared" si="70"/>
        <v/>
      </c>
    </row>
    <row r="302" spans="1:26" ht="15" customHeight="1">
      <c r="A302" s="17">
        <v>301</v>
      </c>
      <c r="B302" s="18" t="s">
        <v>11</v>
      </c>
      <c r="C302" s="18" t="s">
        <v>11</v>
      </c>
      <c r="D302" s="17" t="s">
        <v>230</v>
      </c>
      <c r="E302" s="17" t="s">
        <v>230</v>
      </c>
      <c r="F302" s="17" t="s">
        <v>230</v>
      </c>
      <c r="G302" s="19" t="s">
        <v>84</v>
      </c>
      <c r="H302" s="20" t="s">
        <v>176</v>
      </c>
      <c r="I302" s="18" t="s">
        <v>75</v>
      </c>
      <c r="J302" s="19" t="s">
        <v>9</v>
      </c>
      <c r="K302" s="19" t="str">
        <f>_xlfn.XLOOKUP(L302,Values!$A$137:$A$140,Values!$B$137:$B$140)</f>
        <v>150 und mehr</v>
      </c>
      <c r="L302" s="53">
        <v>150</v>
      </c>
      <c r="M302" s="19" t="s">
        <v>10</v>
      </c>
      <c r="O302" s="40">
        <v>1</v>
      </c>
      <c r="P302" s="32"/>
      <c r="Q302" s="79">
        <v>3.58</v>
      </c>
      <c r="S302" s="24">
        <f t="shared" si="75"/>
        <v>3.58</v>
      </c>
      <c r="T302" s="25">
        <f t="shared" ref="T302:T310" si="76">+S302/L302</f>
        <v>2.3866666666666668E-2</v>
      </c>
      <c r="U302" s="25">
        <f>+T302/Start!$C$15</f>
        <v>6.8190476190476193E-4</v>
      </c>
      <c r="V302" s="25">
        <f>+U302/1000*Start!$C$18</f>
        <v>3.4095238095238097E-4</v>
      </c>
      <c r="W302" s="25">
        <f t="shared" si="72"/>
        <v>0</v>
      </c>
      <c r="X302" s="25" t="str">
        <f t="shared" si="73"/>
        <v/>
      </c>
      <c r="Y302" s="25" t="str">
        <f>IF(I302="Strom",T302/Q302/(Start!$C$15),"")</f>
        <v/>
      </c>
      <c r="Z302" s="25" t="str">
        <f t="shared" si="70"/>
        <v/>
      </c>
    </row>
    <row r="303" spans="1:26" ht="15" customHeight="1">
      <c r="A303" s="17">
        <v>302</v>
      </c>
      <c r="B303" s="18" t="s">
        <v>11</v>
      </c>
      <c r="C303" s="18" t="s">
        <v>11</v>
      </c>
      <c r="D303" s="17" t="s">
        <v>230</v>
      </c>
      <c r="E303" s="17" t="s">
        <v>230</v>
      </c>
      <c r="F303" s="17" t="s">
        <v>230</v>
      </c>
      <c r="G303" s="19" t="s">
        <v>84</v>
      </c>
      <c r="H303" s="20" t="s">
        <v>176</v>
      </c>
      <c r="I303" s="18" t="s">
        <v>74</v>
      </c>
      <c r="J303" s="19" t="s">
        <v>9</v>
      </c>
      <c r="K303" s="19" t="str">
        <f>_xlfn.XLOOKUP(L303,Values!$A$137:$A$140,Values!$B$137:$B$140)</f>
        <v>150 und mehr</v>
      </c>
      <c r="L303" s="53">
        <v>150</v>
      </c>
      <c r="M303" s="19" t="s">
        <v>5</v>
      </c>
      <c r="O303" s="40">
        <v>1</v>
      </c>
      <c r="P303" s="32"/>
      <c r="Q303" s="79">
        <v>0.26</v>
      </c>
      <c r="S303" s="24">
        <f>+(O303*Q303)*L303</f>
        <v>39</v>
      </c>
      <c r="T303" s="25">
        <f t="shared" si="76"/>
        <v>0.26</v>
      </c>
      <c r="U303" s="25">
        <f>+T303/Start!$C$15</f>
        <v>7.4285714285714285E-3</v>
      </c>
      <c r="V303" s="25">
        <f>+U303/1000*Start!$C$18</f>
        <v>3.7142857142857142E-3</v>
      </c>
      <c r="W303" s="25">
        <f t="shared" si="72"/>
        <v>0</v>
      </c>
      <c r="X303" s="25" t="str">
        <f t="shared" si="73"/>
        <v/>
      </c>
      <c r="Y303" s="25" t="str">
        <f>IF(I303="Strom",T303/Q303/(Start!$C$15),"")</f>
        <v/>
      </c>
      <c r="Z303" s="25" t="str">
        <f t="shared" si="70"/>
        <v/>
      </c>
    </row>
    <row r="304" spans="1:26" ht="15" customHeight="1">
      <c r="A304" s="17">
        <v>303</v>
      </c>
      <c r="B304" s="18" t="s">
        <v>11</v>
      </c>
      <c r="C304" s="18" t="s">
        <v>11</v>
      </c>
      <c r="D304" s="17" t="s">
        <v>230</v>
      </c>
      <c r="E304" s="17" t="s">
        <v>230</v>
      </c>
      <c r="F304" s="17" t="s">
        <v>230</v>
      </c>
      <c r="G304" s="19" t="s">
        <v>84</v>
      </c>
      <c r="H304" s="20" t="s">
        <v>176</v>
      </c>
      <c r="I304" s="18" t="s">
        <v>76</v>
      </c>
      <c r="J304" s="19" t="s">
        <v>164</v>
      </c>
      <c r="K304" s="19" t="str">
        <f>_xlfn.XLOOKUP(L304,Values!$A$137:$A$140,Values!$B$137:$B$140)</f>
        <v>150 und mehr</v>
      </c>
      <c r="L304" s="53">
        <v>150</v>
      </c>
      <c r="M304" s="19" t="s">
        <v>10</v>
      </c>
      <c r="O304" s="40">
        <v>1</v>
      </c>
      <c r="P304" s="32"/>
      <c r="Q304" s="79">
        <v>14</v>
      </c>
      <c r="S304" s="24">
        <f t="shared" ref="S304:S313" si="77">+(O304*Q304)</f>
        <v>14</v>
      </c>
      <c r="T304" s="25">
        <f t="shared" si="76"/>
        <v>9.3333333333333338E-2</v>
      </c>
      <c r="U304" s="25">
        <f>+T304/Start!$C$15</f>
        <v>2.6666666666666666E-3</v>
      </c>
      <c r="V304" s="25">
        <f>+U304/1000*Start!$C$18</f>
        <v>1.3333333333333333E-3</v>
      </c>
      <c r="W304" s="25">
        <f t="shared" si="72"/>
        <v>0</v>
      </c>
      <c r="X304" s="25" t="str">
        <f t="shared" si="73"/>
        <v/>
      </c>
      <c r="Y304" s="25" t="str">
        <f>IF(I304="Strom",T304/Q304/(Start!$C$15),"")</f>
        <v/>
      </c>
      <c r="Z304" s="25" t="str">
        <f t="shared" si="70"/>
        <v/>
      </c>
    </row>
    <row r="305" spans="1:26" ht="15" customHeight="1">
      <c r="A305" s="17">
        <v>304</v>
      </c>
      <c r="B305" s="18" t="s">
        <v>11</v>
      </c>
      <c r="C305" s="18" t="s">
        <v>11</v>
      </c>
      <c r="D305" s="17" t="s">
        <v>230</v>
      </c>
      <c r="E305" s="17" t="s">
        <v>230</v>
      </c>
      <c r="F305" s="17" t="s">
        <v>230</v>
      </c>
      <c r="G305" s="19" t="s">
        <v>84</v>
      </c>
      <c r="H305" s="20" t="s">
        <v>176</v>
      </c>
      <c r="I305" s="18" t="s">
        <v>77</v>
      </c>
      <c r="J305" s="19" t="s">
        <v>78</v>
      </c>
      <c r="K305" s="19" t="str">
        <f>_xlfn.XLOOKUP(L305,Values!$A$137:$A$140,Values!$B$137:$B$140)</f>
        <v>150 und mehr</v>
      </c>
      <c r="L305" s="53">
        <v>150</v>
      </c>
      <c r="M305" s="19" t="s">
        <v>10</v>
      </c>
      <c r="O305" s="40">
        <v>1</v>
      </c>
      <c r="P305" s="32"/>
      <c r="Q305" s="79">
        <v>40</v>
      </c>
      <c r="S305" s="24">
        <f t="shared" si="77"/>
        <v>40</v>
      </c>
      <c r="T305" s="25">
        <f t="shared" si="76"/>
        <v>0.26666666666666666</v>
      </c>
      <c r="U305" s="25">
        <f>+T305/Start!$C$15</f>
        <v>7.619047619047619E-3</v>
      </c>
      <c r="V305" s="25">
        <f>+U305/1000*Start!$C$18</f>
        <v>3.8095238095238095E-3</v>
      </c>
      <c r="W305" s="25">
        <f t="shared" si="72"/>
        <v>0</v>
      </c>
      <c r="X305" s="25" t="str">
        <f t="shared" si="73"/>
        <v/>
      </c>
      <c r="Y305" s="25" t="str">
        <f>IF(I305="Strom",T305/Q305/(Start!$C$15),"")</f>
        <v/>
      </c>
      <c r="Z305" s="25" t="str">
        <f t="shared" si="70"/>
        <v/>
      </c>
    </row>
    <row r="306" spans="1:26" ht="15" customHeight="1">
      <c r="A306" s="17">
        <v>305</v>
      </c>
      <c r="B306" s="18" t="s">
        <v>11</v>
      </c>
      <c r="C306" s="18" t="s">
        <v>11</v>
      </c>
      <c r="D306" s="17" t="s">
        <v>230</v>
      </c>
      <c r="E306" s="17" t="s">
        <v>230</v>
      </c>
      <c r="F306" s="17" t="s">
        <v>230</v>
      </c>
      <c r="G306" s="19" t="s">
        <v>84</v>
      </c>
      <c r="H306" s="20" t="s">
        <v>176</v>
      </c>
      <c r="I306" s="18" t="s">
        <v>171</v>
      </c>
      <c r="J306" s="19" t="s">
        <v>172</v>
      </c>
      <c r="K306" s="19" t="str">
        <f>_xlfn.XLOOKUP(L306,Values!$A$137:$A$140,Values!$B$137:$B$140)</f>
        <v>150 und mehr</v>
      </c>
      <c r="L306" s="53">
        <v>150</v>
      </c>
      <c r="M306" s="19" t="s">
        <v>10</v>
      </c>
      <c r="O306" s="40">
        <v>1</v>
      </c>
      <c r="P306" s="32"/>
      <c r="Q306" s="79">
        <v>250</v>
      </c>
      <c r="S306" s="24">
        <f t="shared" si="77"/>
        <v>250</v>
      </c>
      <c r="T306" s="25">
        <f t="shared" ref="T306" si="78">+S306/L306</f>
        <v>1.6666666666666667</v>
      </c>
      <c r="U306" s="25">
        <f>+T306/Start!$C$15</f>
        <v>4.7619047619047623E-2</v>
      </c>
      <c r="V306" s="25">
        <f>+U306/1000*Start!$C$18</f>
        <v>2.3809523809523812E-2</v>
      </c>
      <c r="W306" s="25">
        <f t="shared" si="72"/>
        <v>0</v>
      </c>
      <c r="X306" s="25" t="str">
        <f t="shared" si="73"/>
        <v/>
      </c>
      <c r="Y306" s="25" t="str">
        <f>IF(I306="Strom",T306/Q306/(Start!$C$15),"")</f>
        <v/>
      </c>
      <c r="Z306" s="25" t="str">
        <f t="shared" si="70"/>
        <v/>
      </c>
    </row>
    <row r="307" spans="1:26" ht="15" customHeight="1">
      <c r="A307" s="17">
        <v>306</v>
      </c>
      <c r="B307" s="18" t="s">
        <v>11</v>
      </c>
      <c r="C307" s="18" t="s">
        <v>11</v>
      </c>
      <c r="D307" s="17" t="s">
        <v>230</v>
      </c>
      <c r="E307" s="17" t="s">
        <v>230</v>
      </c>
      <c r="F307" s="17" t="s">
        <v>230</v>
      </c>
      <c r="G307" s="19" t="s">
        <v>84</v>
      </c>
      <c r="H307" s="20" t="s">
        <v>176</v>
      </c>
      <c r="I307" s="18" t="s">
        <v>173</v>
      </c>
      <c r="J307" s="19" t="s">
        <v>174</v>
      </c>
      <c r="K307" s="19" t="str">
        <f>_xlfn.XLOOKUP(L307,Values!$A$137:$A$140,Values!$B$137:$B$140)</f>
        <v>150 und mehr</v>
      </c>
      <c r="L307" s="53">
        <v>150</v>
      </c>
      <c r="M307" s="19" t="s">
        <v>10</v>
      </c>
      <c r="O307" s="40">
        <v>1</v>
      </c>
      <c r="P307" s="32"/>
      <c r="Q307" s="79">
        <f>12*12.24</f>
        <v>146.88</v>
      </c>
      <c r="S307" s="24">
        <f t="shared" si="77"/>
        <v>146.88</v>
      </c>
      <c r="T307" s="25">
        <f t="shared" ref="T307" si="79">+S307/L307</f>
        <v>0.97919999999999996</v>
      </c>
      <c r="U307" s="25">
        <f>+T307/Start!$C$15</f>
        <v>2.7977142857142857E-2</v>
      </c>
      <c r="V307" s="25">
        <f>+U307/1000*Start!$C$18</f>
        <v>1.3988571428571428E-2</v>
      </c>
      <c r="W307" s="25">
        <f t="shared" si="72"/>
        <v>0</v>
      </c>
      <c r="X307" s="25" t="str">
        <f t="shared" si="73"/>
        <v/>
      </c>
      <c r="Y307" s="25" t="str">
        <f>IF(I307="Strom",T307/Q307/(Start!$C$15),"")</f>
        <v/>
      </c>
      <c r="Z307" s="25" t="str">
        <f t="shared" si="70"/>
        <v/>
      </c>
    </row>
    <row r="308" spans="1:26" ht="15" customHeight="1">
      <c r="A308" s="17">
        <v>307</v>
      </c>
      <c r="B308" s="18" t="s">
        <v>11</v>
      </c>
      <c r="C308" s="18" t="s">
        <v>11</v>
      </c>
      <c r="D308" s="17" t="s">
        <v>230</v>
      </c>
      <c r="E308" s="17" t="s">
        <v>230</v>
      </c>
      <c r="F308" s="17" t="s">
        <v>230</v>
      </c>
      <c r="G308" s="19" t="s">
        <v>84</v>
      </c>
      <c r="H308" s="20" t="s">
        <v>20</v>
      </c>
      <c r="I308" s="18" t="s">
        <v>68</v>
      </c>
      <c r="J308" s="19" t="s">
        <v>69</v>
      </c>
      <c r="K308" s="19" t="str">
        <f>_xlfn.XLOOKUP(L308,Values!$A$137:$A$140,Values!$B$137:$B$140)</f>
        <v>150 und mehr</v>
      </c>
      <c r="L308" s="53">
        <v>150</v>
      </c>
      <c r="M308" s="19" t="s">
        <v>10</v>
      </c>
      <c r="O308" s="40">
        <v>1</v>
      </c>
      <c r="Q308" s="55">
        <v>66.900000000000006</v>
      </c>
      <c r="S308" s="24">
        <f t="shared" si="77"/>
        <v>66.900000000000006</v>
      </c>
      <c r="T308" s="25">
        <f t="shared" si="76"/>
        <v>0.44600000000000006</v>
      </c>
      <c r="U308" s="25">
        <f>+T308/Start!$C$15</f>
        <v>1.2742857142857144E-2</v>
      </c>
      <c r="V308" s="25">
        <f>+U308/1000*Start!$C$18</f>
        <v>6.3714285714285722E-3</v>
      </c>
      <c r="W308" s="25">
        <f t="shared" si="72"/>
        <v>0</v>
      </c>
      <c r="X308" s="25" t="str">
        <f t="shared" si="73"/>
        <v/>
      </c>
      <c r="Y308" s="25" t="str">
        <f>IF(I308="Strom",T308/Q308/(Start!$C$15),"")</f>
        <v/>
      </c>
      <c r="Z308" s="25" t="str">
        <f t="shared" si="70"/>
        <v/>
      </c>
    </row>
    <row r="309" spans="1:26" ht="15" customHeight="1">
      <c r="A309" s="17">
        <v>308</v>
      </c>
      <c r="B309" s="18" t="s">
        <v>11</v>
      </c>
      <c r="C309" s="18" t="s">
        <v>11</v>
      </c>
      <c r="D309" s="17" t="s">
        <v>230</v>
      </c>
      <c r="E309" s="17" t="s">
        <v>230</v>
      </c>
      <c r="F309" s="17" t="s">
        <v>230</v>
      </c>
      <c r="G309" s="19" t="s">
        <v>84</v>
      </c>
      <c r="H309" s="20" t="s">
        <v>89</v>
      </c>
      <c r="I309" s="18" t="s">
        <v>49</v>
      </c>
      <c r="K309" s="19" t="str">
        <f>_xlfn.XLOOKUP(L309,Values!$A$137:$A$140,Values!$B$137:$B$140)</f>
        <v>150 und mehr</v>
      </c>
      <c r="L309" s="53">
        <v>150</v>
      </c>
      <c r="M309" s="19" t="s">
        <v>10</v>
      </c>
      <c r="O309" s="40">
        <v>1</v>
      </c>
      <c r="Q309" s="55">
        <v>1000</v>
      </c>
      <c r="S309" s="24">
        <f t="shared" si="77"/>
        <v>1000</v>
      </c>
      <c r="T309" s="25">
        <f t="shared" si="76"/>
        <v>6.666666666666667</v>
      </c>
      <c r="U309" s="25">
        <f>+T309/Start!$C$15</f>
        <v>0.19047619047619049</v>
      </c>
      <c r="V309" s="25">
        <f>+U309/1000*Start!$C$18</f>
        <v>9.5238095238095247E-2</v>
      </c>
      <c r="W309" s="25">
        <f t="shared" si="72"/>
        <v>0</v>
      </c>
      <c r="X309" s="25" t="str">
        <f t="shared" si="73"/>
        <v/>
      </c>
      <c r="Y309" s="25" t="str">
        <f>IF(I309="Strom",T309/Q309/(Start!$C$15),"")</f>
        <v/>
      </c>
      <c r="Z309" s="25" t="str">
        <f t="shared" si="70"/>
        <v/>
      </c>
    </row>
    <row r="310" spans="1:26" ht="15" customHeight="1">
      <c r="A310" s="17">
        <v>309</v>
      </c>
      <c r="B310" s="18" t="s">
        <v>11</v>
      </c>
      <c r="C310" s="18" t="s">
        <v>11</v>
      </c>
      <c r="D310" s="17" t="s">
        <v>230</v>
      </c>
      <c r="E310" s="17" t="s">
        <v>230</v>
      </c>
      <c r="F310" s="17" t="s">
        <v>230</v>
      </c>
      <c r="G310" s="19" t="s">
        <v>84</v>
      </c>
      <c r="H310" s="20" t="s">
        <v>185</v>
      </c>
      <c r="I310" s="18" t="s">
        <v>175</v>
      </c>
      <c r="K310" s="19" t="str">
        <f>_xlfn.XLOOKUP(L310,Values!$A$137:$A$140,Values!$B$137:$B$140)</f>
        <v>1 bis 25</v>
      </c>
      <c r="L310" s="21">
        <v>6</v>
      </c>
      <c r="M310" s="19" t="s">
        <v>10</v>
      </c>
      <c r="O310" s="40">
        <v>1</v>
      </c>
      <c r="Q310" s="55">
        <v>12</v>
      </c>
      <c r="S310" s="24">
        <f t="shared" ref="S310" si="80">+(O310*Q310)</f>
        <v>12</v>
      </c>
      <c r="T310" s="25">
        <f t="shared" si="76"/>
        <v>2</v>
      </c>
      <c r="U310" s="25">
        <f>+T310/Start!$C$15</f>
        <v>5.7142857142857141E-2</v>
      </c>
      <c r="V310" s="25">
        <f>+U310/1000*Start!$C$18</f>
        <v>2.8571428571428571E-2</v>
      </c>
      <c r="W310" s="25">
        <f t="shared" ref="W310" si="81">+R310/L310</f>
        <v>0</v>
      </c>
      <c r="X310" s="25" t="str">
        <f t="shared" ref="X310" si="82">IF(H310="Arbeit",S310/Q310/L310,"")</f>
        <v/>
      </c>
      <c r="Y310" s="25" t="str">
        <f>IF(I310="Strom",T310/Q310/(Start!$C$15),"")</f>
        <v/>
      </c>
      <c r="Z310" s="25" t="str">
        <f t="shared" si="70"/>
        <v/>
      </c>
    </row>
    <row r="311" spans="1:26" ht="15" customHeight="1">
      <c r="A311" s="17">
        <v>310</v>
      </c>
      <c r="B311" s="18" t="s">
        <v>11</v>
      </c>
      <c r="C311" s="18" t="s">
        <v>11</v>
      </c>
      <c r="D311" s="17" t="s">
        <v>230</v>
      </c>
      <c r="E311" s="17" t="s">
        <v>230</v>
      </c>
      <c r="F311" s="17" t="s">
        <v>230</v>
      </c>
      <c r="G311" s="19" t="s">
        <v>84</v>
      </c>
      <c r="H311" s="20" t="s">
        <v>185</v>
      </c>
      <c r="I311" s="18" t="s">
        <v>175</v>
      </c>
      <c r="K311" s="19" t="str">
        <f>_xlfn.XLOOKUP(L311,Values!$A$137:$A$140,Values!$B$137:$B$140)</f>
        <v>26 bis 70</v>
      </c>
      <c r="L311" s="51">
        <v>26</v>
      </c>
      <c r="M311" s="19" t="s">
        <v>10</v>
      </c>
      <c r="O311" s="40">
        <v>1</v>
      </c>
      <c r="Q311" s="55">
        <v>50</v>
      </c>
      <c r="S311" s="24">
        <f t="shared" ref="S311" si="83">+(O311*Q311)</f>
        <v>50</v>
      </c>
      <c r="T311" s="25">
        <f t="shared" ref="T311" si="84">+S311/L311</f>
        <v>1.9230769230769231</v>
      </c>
      <c r="U311" s="25">
        <f>+T311/Start!$C$15</f>
        <v>5.4945054945054944E-2</v>
      </c>
      <c r="V311" s="25">
        <f>+U311/1000*Start!$C$18</f>
        <v>2.7472527472527472E-2</v>
      </c>
      <c r="W311" s="25">
        <f t="shared" ref="W311" si="85">+R311/L311</f>
        <v>0</v>
      </c>
      <c r="X311" s="25" t="str">
        <f t="shared" ref="X311" si="86">IF(H311="Arbeit",S311/Q311/L311,"")</f>
        <v/>
      </c>
      <c r="Y311" s="25" t="str">
        <f>IF(I311="Strom",T311/Q311/(Start!$C$15),"")</f>
        <v/>
      </c>
      <c r="Z311" s="25" t="str">
        <f t="shared" si="70"/>
        <v/>
      </c>
    </row>
    <row r="312" spans="1:26" ht="15" customHeight="1">
      <c r="A312" s="17">
        <v>311</v>
      </c>
      <c r="B312" s="18" t="s">
        <v>11</v>
      </c>
      <c r="C312" s="18" t="s">
        <v>11</v>
      </c>
      <c r="D312" s="17" t="s">
        <v>230</v>
      </c>
      <c r="E312" s="17" t="s">
        <v>230</v>
      </c>
      <c r="F312" s="17" t="s">
        <v>230</v>
      </c>
      <c r="G312" s="19" t="s">
        <v>84</v>
      </c>
      <c r="H312" s="20" t="s">
        <v>185</v>
      </c>
      <c r="I312" s="18" t="s">
        <v>175</v>
      </c>
      <c r="K312" s="19" t="str">
        <f>_xlfn.XLOOKUP(L312,Values!$A$137:$A$140,Values!$B$137:$B$140)</f>
        <v>71 bis 149</v>
      </c>
      <c r="L312" s="52">
        <v>71</v>
      </c>
      <c r="M312" s="19" t="s">
        <v>10</v>
      </c>
      <c r="O312" s="40">
        <v>1</v>
      </c>
      <c r="Q312" s="55">
        <v>100</v>
      </c>
      <c r="S312" s="24">
        <f t="shared" ref="S312" si="87">+(O312*Q312)</f>
        <v>100</v>
      </c>
      <c r="T312" s="25">
        <f t="shared" ref="T312" si="88">+S312/L312</f>
        <v>1.408450704225352</v>
      </c>
      <c r="U312" s="25">
        <f>+T312/Start!$C$15</f>
        <v>4.0241448692152917E-2</v>
      </c>
      <c r="V312" s="25">
        <f>+U312/1000*Start!$C$18</f>
        <v>2.0120724346076459E-2</v>
      </c>
      <c r="W312" s="25">
        <f t="shared" ref="W312" si="89">+R312/L312</f>
        <v>0</v>
      </c>
      <c r="X312" s="25" t="str">
        <f t="shared" ref="X312" si="90">IF(H312="Arbeit",S312/Q312/L312,"")</f>
        <v/>
      </c>
      <c r="Y312" s="25" t="str">
        <f>IF(I312="Strom",T312/Q312/(Start!$C$15),"")</f>
        <v/>
      </c>
      <c r="Z312" s="25" t="str">
        <f t="shared" si="70"/>
        <v/>
      </c>
    </row>
    <row r="313" spans="1:26" ht="15" customHeight="1">
      <c r="A313" s="17">
        <v>312</v>
      </c>
      <c r="B313" s="18" t="s">
        <v>11</v>
      </c>
      <c r="C313" s="18" t="s">
        <v>11</v>
      </c>
      <c r="D313" s="17" t="s">
        <v>230</v>
      </c>
      <c r="E313" s="17" t="s">
        <v>230</v>
      </c>
      <c r="F313" s="17" t="s">
        <v>230</v>
      </c>
      <c r="G313" s="19" t="s">
        <v>84</v>
      </c>
      <c r="H313" s="20" t="s">
        <v>185</v>
      </c>
      <c r="I313" s="18" t="s">
        <v>175</v>
      </c>
      <c r="K313" s="19" t="str">
        <f>_xlfn.XLOOKUP(L313,Values!$A$137:$A$140,Values!$B$137:$B$140)</f>
        <v>150 und mehr</v>
      </c>
      <c r="L313" s="53">
        <v>150</v>
      </c>
      <c r="M313" s="19" t="s">
        <v>10</v>
      </c>
      <c r="O313" s="40">
        <v>1</v>
      </c>
      <c r="Q313" s="55">
        <v>200</v>
      </c>
      <c r="S313" s="24">
        <f t="shared" si="77"/>
        <v>200</v>
      </c>
      <c r="T313" s="25">
        <f t="shared" ref="T313" si="91">+S313/L313</f>
        <v>1.3333333333333333</v>
      </c>
      <c r="U313" s="25">
        <f>+T313/Start!$C$15</f>
        <v>3.8095238095238092E-2</v>
      </c>
      <c r="V313" s="25">
        <f>+U313/1000*Start!$C$18</f>
        <v>1.9047619047619046E-2</v>
      </c>
      <c r="W313" s="25">
        <f t="shared" si="72"/>
        <v>0</v>
      </c>
      <c r="X313" s="25" t="str">
        <f t="shared" si="73"/>
        <v/>
      </c>
      <c r="Y313" s="25" t="str">
        <f>IF(I313="Strom",T313/Q313/(Start!$C$15),"")</f>
        <v/>
      </c>
      <c r="Z313" s="25" t="str">
        <f t="shared" si="70"/>
        <v/>
      </c>
    </row>
    <row r="314" spans="1:26" ht="15" customHeight="1">
      <c r="A314" s="17">
        <v>313</v>
      </c>
      <c r="B314" s="19" t="s">
        <v>7</v>
      </c>
      <c r="C314" s="18" t="s">
        <v>12</v>
      </c>
      <c r="D314" s="17" t="s">
        <v>230</v>
      </c>
      <c r="E314" s="17"/>
      <c r="F314" s="17"/>
      <c r="G314" s="19" t="s">
        <v>97</v>
      </c>
      <c r="H314" s="20" t="s">
        <v>269</v>
      </c>
      <c r="I314" s="80" t="s">
        <v>50</v>
      </c>
      <c r="K314" s="19" t="str">
        <f>_xlfn.XLOOKUP(L314,Values!$A$137:$A$140,Values!$B$137:$B$140)</f>
        <v>1 bis 25</v>
      </c>
      <c r="L314" s="21">
        <v>6</v>
      </c>
      <c r="M314" s="19" t="s">
        <v>268</v>
      </c>
      <c r="O314" s="81">
        <f>+Start!$C$27</f>
        <v>2</v>
      </c>
      <c r="P314" s="82"/>
      <c r="Q314" s="37"/>
      <c r="S314" s="42">
        <f>+O314*L314*Start!$C$15</f>
        <v>420</v>
      </c>
      <c r="T314" s="25">
        <f t="shared" si="67"/>
        <v>70</v>
      </c>
      <c r="U314" s="25">
        <f>+T314/Start!$C$15</f>
        <v>2</v>
      </c>
      <c r="V314" s="25">
        <f>+U314/1000*Start!$C$18</f>
        <v>1</v>
      </c>
      <c r="W314" s="25">
        <f t="shared" si="72"/>
        <v>0</v>
      </c>
      <c r="X314" s="25" t="str">
        <f t="shared" si="73"/>
        <v/>
      </c>
      <c r="Y314" s="25" t="str">
        <f>IF(I314="Strom",T314/Q314/(Start!$C$15),"")</f>
        <v/>
      </c>
      <c r="Z314" s="25" t="str">
        <f t="shared" si="70"/>
        <v/>
      </c>
    </row>
    <row r="315" spans="1:26" ht="15" customHeight="1">
      <c r="A315" s="17">
        <v>314</v>
      </c>
      <c r="B315" s="19" t="s">
        <v>7</v>
      </c>
      <c r="C315" s="18" t="s">
        <v>12</v>
      </c>
      <c r="D315" s="17" t="s">
        <v>230</v>
      </c>
      <c r="E315" s="17"/>
      <c r="F315" s="17"/>
      <c r="G315" s="19" t="s">
        <v>97</v>
      </c>
      <c r="H315" s="18" t="s">
        <v>117</v>
      </c>
      <c r="I315" s="18" t="s">
        <v>117</v>
      </c>
      <c r="J315" s="19" t="s">
        <v>116</v>
      </c>
      <c r="K315" s="19" t="str">
        <f>_xlfn.XLOOKUP(L315,Values!$A$137:$A$140,Values!$B$137:$B$140)</f>
        <v>1 bis 25</v>
      </c>
      <c r="L315" s="21">
        <v>6</v>
      </c>
      <c r="M315" s="19" t="s">
        <v>268</v>
      </c>
      <c r="O315" s="71"/>
      <c r="P315" s="82"/>
      <c r="Q315" s="43"/>
      <c r="S315" s="24">
        <f>(+S314)*Q315</f>
        <v>0</v>
      </c>
      <c r="T315" s="25">
        <f t="shared" si="67"/>
        <v>0</v>
      </c>
      <c r="U315" s="25">
        <f>+T315/Start!$C$15</f>
        <v>0</v>
      </c>
      <c r="V315" s="25">
        <f>+U315/1000*Start!$C$18</f>
        <v>0</v>
      </c>
      <c r="W315" s="25">
        <f t="shared" si="72"/>
        <v>0</v>
      </c>
      <c r="X315" s="25" t="str">
        <f t="shared" si="73"/>
        <v/>
      </c>
      <c r="Y315" s="25" t="str">
        <f>IF(I315="Strom",T315/Q315/(Start!$C$15),"")</f>
        <v/>
      </c>
      <c r="Z315" s="25" t="str">
        <f t="shared" si="70"/>
        <v/>
      </c>
    </row>
    <row r="316" spans="1:26" ht="15" customHeight="1">
      <c r="A316" s="17">
        <v>315</v>
      </c>
      <c r="B316" s="19" t="s">
        <v>7</v>
      </c>
      <c r="C316" s="18" t="s">
        <v>12</v>
      </c>
      <c r="D316" s="17" t="s">
        <v>230</v>
      </c>
      <c r="E316" s="17"/>
      <c r="F316" s="17"/>
      <c r="G316" s="19" t="s">
        <v>97</v>
      </c>
      <c r="H316" s="20" t="s">
        <v>269</v>
      </c>
      <c r="I316" s="80" t="s">
        <v>50</v>
      </c>
      <c r="K316" s="19" t="str">
        <f>_xlfn.XLOOKUP(L316,Values!$A$137:$A$140,Values!$B$137:$B$140)</f>
        <v>26 bis 70</v>
      </c>
      <c r="L316" s="51">
        <v>26</v>
      </c>
      <c r="M316" s="19" t="s">
        <v>268</v>
      </c>
      <c r="O316" s="81">
        <f>+Start!$C$27</f>
        <v>2</v>
      </c>
      <c r="P316" s="82"/>
      <c r="Q316" s="37"/>
      <c r="S316" s="42">
        <f>+O316*L316*Start!$C$15</f>
        <v>1820</v>
      </c>
      <c r="T316" s="25">
        <f t="shared" si="67"/>
        <v>70</v>
      </c>
      <c r="U316" s="25">
        <f>+T316/Start!$C$15</f>
        <v>2</v>
      </c>
      <c r="V316" s="25">
        <f>+U316/1000*Start!$C$18</f>
        <v>1</v>
      </c>
      <c r="W316" s="25">
        <f t="shared" si="72"/>
        <v>0</v>
      </c>
      <c r="X316" s="25" t="str">
        <f t="shared" si="73"/>
        <v/>
      </c>
      <c r="Y316" s="25" t="str">
        <f>IF(I316="Strom",T316/Q316/(Start!$C$15),"")</f>
        <v/>
      </c>
      <c r="Z316" s="25" t="str">
        <f t="shared" si="70"/>
        <v/>
      </c>
    </row>
    <row r="317" spans="1:26" ht="15" customHeight="1">
      <c r="A317" s="17">
        <v>316</v>
      </c>
      <c r="B317" s="19" t="s">
        <v>7</v>
      </c>
      <c r="C317" s="18" t="s">
        <v>12</v>
      </c>
      <c r="D317" s="17" t="s">
        <v>230</v>
      </c>
      <c r="E317" s="17"/>
      <c r="F317" s="17"/>
      <c r="G317" s="19" t="s">
        <v>97</v>
      </c>
      <c r="H317" s="18" t="s">
        <v>117</v>
      </c>
      <c r="I317" s="18" t="s">
        <v>117</v>
      </c>
      <c r="J317" s="19" t="s">
        <v>116</v>
      </c>
      <c r="K317" s="19" t="str">
        <f>_xlfn.XLOOKUP(L317,Values!$A$137:$A$140,Values!$B$137:$B$140)</f>
        <v>26 bis 70</v>
      </c>
      <c r="L317" s="51">
        <v>26</v>
      </c>
      <c r="M317" s="19" t="s">
        <v>268</v>
      </c>
      <c r="O317" s="71"/>
      <c r="P317" s="82"/>
      <c r="Q317" s="43"/>
      <c r="S317" s="24">
        <f>(+S316)*Q317</f>
        <v>0</v>
      </c>
      <c r="T317" s="25">
        <f t="shared" si="67"/>
        <v>0</v>
      </c>
      <c r="U317" s="25">
        <f>+T317/Start!$C$15</f>
        <v>0</v>
      </c>
      <c r="V317" s="25">
        <f>+U317/1000*Start!$C$18</f>
        <v>0</v>
      </c>
      <c r="W317" s="25">
        <f t="shared" si="72"/>
        <v>0</v>
      </c>
      <c r="X317" s="25" t="str">
        <f t="shared" si="73"/>
        <v/>
      </c>
      <c r="Y317" s="25" t="str">
        <f>IF(I317="Strom",T317/Q317/(Start!$C$15),"")</f>
        <v/>
      </c>
      <c r="Z317" s="25" t="str">
        <f t="shared" si="70"/>
        <v/>
      </c>
    </row>
    <row r="318" spans="1:26" ht="15" customHeight="1">
      <c r="A318" s="17">
        <v>317</v>
      </c>
      <c r="B318" s="19" t="s">
        <v>7</v>
      </c>
      <c r="C318" s="18" t="s">
        <v>12</v>
      </c>
      <c r="D318" s="17" t="s">
        <v>230</v>
      </c>
      <c r="E318" s="17"/>
      <c r="F318" s="17"/>
      <c r="G318" s="19" t="s">
        <v>97</v>
      </c>
      <c r="H318" s="20" t="s">
        <v>269</v>
      </c>
      <c r="I318" s="80" t="s">
        <v>50</v>
      </c>
      <c r="K318" s="19" t="str">
        <f>_xlfn.XLOOKUP(L318,Values!$A$137:$A$140,Values!$B$137:$B$140)</f>
        <v>71 bis 149</v>
      </c>
      <c r="L318" s="52">
        <v>71</v>
      </c>
      <c r="M318" s="19" t="s">
        <v>268</v>
      </c>
      <c r="O318" s="81">
        <f>+Start!$C$27</f>
        <v>2</v>
      </c>
      <c r="P318" s="82"/>
      <c r="Q318" s="37"/>
      <c r="S318" s="42">
        <f>+O318*L318*Start!$C$15</f>
        <v>4970</v>
      </c>
      <c r="T318" s="25">
        <f t="shared" si="67"/>
        <v>70</v>
      </c>
      <c r="U318" s="25">
        <f>+T318/Start!$C$15</f>
        <v>2</v>
      </c>
      <c r="V318" s="25">
        <f>+U318/1000*Start!$C$18</f>
        <v>1</v>
      </c>
      <c r="W318" s="25">
        <f t="shared" si="72"/>
        <v>0</v>
      </c>
      <c r="X318" s="25" t="str">
        <f t="shared" si="73"/>
        <v/>
      </c>
      <c r="Y318" s="25" t="str">
        <f>IF(I318="Strom",T318/Q318/(Start!$C$15),"")</f>
        <v/>
      </c>
      <c r="Z318" s="25" t="str">
        <f t="shared" si="70"/>
        <v/>
      </c>
    </row>
    <row r="319" spans="1:26" ht="15" customHeight="1">
      <c r="A319" s="17">
        <v>318</v>
      </c>
      <c r="B319" s="19" t="s">
        <v>7</v>
      </c>
      <c r="C319" s="18" t="s">
        <v>12</v>
      </c>
      <c r="D319" s="17" t="s">
        <v>230</v>
      </c>
      <c r="E319" s="17"/>
      <c r="F319" s="17"/>
      <c r="G319" s="19" t="s">
        <v>97</v>
      </c>
      <c r="H319" s="18" t="s">
        <v>117</v>
      </c>
      <c r="I319" s="18" t="s">
        <v>117</v>
      </c>
      <c r="J319" s="19" t="s">
        <v>116</v>
      </c>
      <c r="K319" s="19" t="str">
        <f>_xlfn.XLOOKUP(L319,Values!$A$137:$A$140,Values!$B$137:$B$140)</f>
        <v>71 bis 149</v>
      </c>
      <c r="L319" s="52">
        <v>71</v>
      </c>
      <c r="M319" s="19" t="s">
        <v>268</v>
      </c>
      <c r="O319" s="71"/>
      <c r="P319" s="82"/>
      <c r="Q319" s="43"/>
      <c r="S319" s="24">
        <f>(+S318)*Q319</f>
        <v>0</v>
      </c>
      <c r="T319" s="25">
        <f t="shared" si="67"/>
        <v>0</v>
      </c>
      <c r="U319" s="25">
        <f>+T319/Start!$C$15</f>
        <v>0</v>
      </c>
      <c r="V319" s="25">
        <f>+U319/1000*Start!$C$18</f>
        <v>0</v>
      </c>
      <c r="W319" s="25">
        <f t="shared" si="72"/>
        <v>0</v>
      </c>
      <c r="X319" s="25" t="str">
        <f t="shared" si="73"/>
        <v/>
      </c>
      <c r="Y319" s="25" t="str">
        <f>IF(I319="Strom",T319/Q319/(Start!$C$15),"")</f>
        <v/>
      </c>
      <c r="Z319" s="25" t="str">
        <f t="shared" si="70"/>
        <v/>
      </c>
    </row>
    <row r="320" spans="1:26" ht="15" customHeight="1">
      <c r="A320" s="17">
        <v>319</v>
      </c>
      <c r="B320" s="19" t="s">
        <v>7</v>
      </c>
      <c r="C320" s="18" t="s">
        <v>12</v>
      </c>
      <c r="D320" s="17" t="s">
        <v>230</v>
      </c>
      <c r="E320" s="17"/>
      <c r="F320" s="17"/>
      <c r="G320" s="19" t="s">
        <v>97</v>
      </c>
      <c r="H320" s="20" t="s">
        <v>269</v>
      </c>
      <c r="I320" s="80" t="s">
        <v>50</v>
      </c>
      <c r="K320" s="19" t="str">
        <f>_xlfn.XLOOKUP(L320,Values!$A$137:$A$140,Values!$B$137:$B$140)</f>
        <v>150 und mehr</v>
      </c>
      <c r="L320" s="53">
        <v>150</v>
      </c>
      <c r="M320" s="19" t="s">
        <v>268</v>
      </c>
      <c r="O320" s="81">
        <f>+Start!$C$27</f>
        <v>2</v>
      </c>
      <c r="P320" s="82"/>
      <c r="Q320" s="37"/>
      <c r="S320" s="42">
        <f>+O320*L320*Start!$C$15</f>
        <v>10500</v>
      </c>
      <c r="T320" s="25">
        <f t="shared" si="67"/>
        <v>70</v>
      </c>
      <c r="U320" s="25">
        <f>+T320/Start!$C$15</f>
        <v>2</v>
      </c>
      <c r="V320" s="25">
        <f>+U320/1000*Start!$C$18</f>
        <v>1</v>
      </c>
      <c r="W320" s="25">
        <f t="shared" si="72"/>
        <v>0</v>
      </c>
      <c r="X320" s="25" t="str">
        <f t="shared" si="73"/>
        <v/>
      </c>
      <c r="Y320" s="25" t="str">
        <f>IF(I320="Strom",T320/Q320/(Start!$C$15),"")</f>
        <v/>
      </c>
      <c r="Z320" s="25" t="str">
        <f t="shared" si="70"/>
        <v/>
      </c>
    </row>
    <row r="321" spans="1:26" ht="15" customHeight="1">
      <c r="A321" s="17">
        <v>320</v>
      </c>
      <c r="B321" s="19" t="s">
        <v>7</v>
      </c>
      <c r="C321" s="18" t="s">
        <v>12</v>
      </c>
      <c r="D321" s="17" t="s">
        <v>230</v>
      </c>
      <c r="E321" s="17"/>
      <c r="F321" s="17"/>
      <c r="G321" s="19" t="s">
        <v>97</v>
      </c>
      <c r="H321" s="18" t="s">
        <v>117</v>
      </c>
      <c r="I321" s="18" t="s">
        <v>117</v>
      </c>
      <c r="J321" s="19" t="s">
        <v>116</v>
      </c>
      <c r="K321" s="19" t="str">
        <f>_xlfn.XLOOKUP(L321,Values!$A$137:$A$140,Values!$B$137:$B$140)</f>
        <v>150 und mehr</v>
      </c>
      <c r="L321" s="53">
        <v>150</v>
      </c>
      <c r="M321" s="19" t="s">
        <v>268</v>
      </c>
      <c r="O321" s="71"/>
      <c r="P321" s="82"/>
      <c r="Q321" s="43"/>
      <c r="S321" s="24">
        <f>(+S320)*Q321</f>
        <v>0</v>
      </c>
      <c r="T321" s="25">
        <f t="shared" si="67"/>
        <v>0</v>
      </c>
      <c r="U321" s="25">
        <f>+T321/Start!$C$15</f>
        <v>0</v>
      </c>
      <c r="V321" s="25">
        <f>+U321/1000*Start!$C$18</f>
        <v>0</v>
      </c>
      <c r="W321" s="25">
        <f t="shared" si="72"/>
        <v>0</v>
      </c>
      <c r="X321" s="25" t="str">
        <f t="shared" si="73"/>
        <v/>
      </c>
      <c r="Y321" s="25" t="str">
        <f>IF(I321="Strom",T321/Q321/(Start!$C$15),"")</f>
        <v/>
      </c>
      <c r="Z321" s="25" t="str">
        <f t="shared" si="70"/>
        <v/>
      </c>
    </row>
    <row r="322" spans="1:26" ht="15" customHeight="1">
      <c r="A322" s="17">
        <v>321</v>
      </c>
      <c r="B322" s="18" t="s">
        <v>159</v>
      </c>
      <c r="C322" s="18" t="s">
        <v>159</v>
      </c>
      <c r="D322" s="17" t="s">
        <v>230</v>
      </c>
      <c r="E322" s="17"/>
      <c r="F322" s="17"/>
      <c r="G322" s="19" t="s">
        <v>97</v>
      </c>
      <c r="H322" s="18" t="s">
        <v>159</v>
      </c>
      <c r="K322" s="19" t="str">
        <f>_xlfn.XLOOKUP(L322,Values!$A$137:$A$140,Values!$B$137:$B$140)</f>
        <v>1 bis 25</v>
      </c>
      <c r="L322" s="21">
        <v>6</v>
      </c>
      <c r="M322" s="19" t="s">
        <v>10</v>
      </c>
      <c r="O322" s="71"/>
      <c r="P322" s="82"/>
      <c r="Q322" s="83">
        <f>+Start!$C$32</f>
        <v>0.1</v>
      </c>
      <c r="S322" s="42">
        <f>SUMIFS($S$2:$S$321,$L$2:$L$321,L322,$D$2:$D$321,D322)*Q322</f>
        <v>380.25591768627464</v>
      </c>
      <c r="T322" s="25">
        <f t="shared" ref="T322:T329" si="92">+S322/L322</f>
        <v>63.375986281045776</v>
      </c>
      <c r="U322" s="25">
        <f>+T322/Start!$C$15</f>
        <v>1.8107424651727364</v>
      </c>
      <c r="V322" s="25">
        <f>+U322/1000*Start!$C$18</f>
        <v>0.9053712325863682</v>
      </c>
      <c r="W322" s="25">
        <f t="shared" ref="W322:W329" si="93">+R322/L322</f>
        <v>0</v>
      </c>
      <c r="X322" s="25" t="str">
        <f t="shared" ref="X322:X329" si="94">IF(H322="Arbeit",S322/Q322/L322,"")</f>
        <v/>
      </c>
      <c r="Y322" s="25" t="str">
        <f>IF(I322="Strom",T322/Q322/(Start!$C$15),"")</f>
        <v/>
      </c>
      <c r="Z322" s="25" t="str">
        <f t="shared" ref="Z322:Z329" si="95">IF(H322="KFZ",U322/Q322,"")</f>
        <v/>
      </c>
    </row>
    <row r="323" spans="1:26" ht="15" customHeight="1">
      <c r="A323" s="17">
        <v>322</v>
      </c>
      <c r="B323" s="18" t="s">
        <v>159</v>
      </c>
      <c r="C323" s="18" t="s">
        <v>159</v>
      </c>
      <c r="D323" s="17" t="s">
        <v>230</v>
      </c>
      <c r="E323" s="17"/>
      <c r="F323" s="17"/>
      <c r="G323" s="19" t="s">
        <v>97</v>
      </c>
      <c r="H323" s="18" t="s">
        <v>159</v>
      </c>
      <c r="K323" s="19" t="str">
        <f>_xlfn.XLOOKUP(L323,Values!$A$137:$A$140,Values!$B$137:$B$140)</f>
        <v>26 bis 70</v>
      </c>
      <c r="L323" s="51">
        <v>26</v>
      </c>
      <c r="M323" s="19" t="s">
        <v>10</v>
      </c>
      <c r="O323" s="71"/>
      <c r="P323" s="82"/>
      <c r="Q323" s="83">
        <f>+Start!$C$32</f>
        <v>0.1</v>
      </c>
      <c r="S323" s="42">
        <f t="shared" ref="S323:S325" si="96">SUMIFS($S$2:$S$321,$L$2:$L$321,L323,$D$2:$D$321,D323)*Q323</f>
        <v>1317.5189549554368</v>
      </c>
      <c r="T323" s="25">
        <f t="shared" si="92"/>
        <v>50.673805959824492</v>
      </c>
      <c r="U323" s="25">
        <f>+T323/Start!$C$15</f>
        <v>1.4478230274235568</v>
      </c>
      <c r="V323" s="25">
        <f>+U323/1000*Start!$C$18</f>
        <v>0.72391151371177842</v>
      </c>
      <c r="W323" s="25">
        <f t="shared" si="93"/>
        <v>0</v>
      </c>
      <c r="X323" s="25" t="str">
        <f t="shared" si="94"/>
        <v/>
      </c>
      <c r="Y323" s="25" t="str">
        <f>IF(I323="Strom",T323/Q323/(Start!$C$15),"")</f>
        <v/>
      </c>
      <c r="Z323" s="25" t="str">
        <f t="shared" si="95"/>
        <v/>
      </c>
    </row>
    <row r="324" spans="1:26" ht="15" customHeight="1">
      <c r="A324" s="17">
        <v>323</v>
      </c>
      <c r="B324" s="18" t="s">
        <v>159</v>
      </c>
      <c r="C324" s="18" t="s">
        <v>159</v>
      </c>
      <c r="D324" s="17" t="s">
        <v>230</v>
      </c>
      <c r="E324" s="17"/>
      <c r="F324" s="17"/>
      <c r="G324" s="19" t="s">
        <v>97</v>
      </c>
      <c r="H324" s="18" t="s">
        <v>159</v>
      </c>
      <c r="K324" s="19" t="str">
        <f>_xlfn.XLOOKUP(L324,Values!$A$137:$A$140,Values!$B$137:$B$140)</f>
        <v>71 bis 149</v>
      </c>
      <c r="L324" s="52">
        <v>71</v>
      </c>
      <c r="M324" s="19" t="s">
        <v>10</v>
      </c>
      <c r="O324" s="71"/>
      <c r="P324" s="82"/>
      <c r="Q324" s="83">
        <f>+Start!$C$32</f>
        <v>0.1</v>
      </c>
      <c r="S324" s="42">
        <f t="shared" si="96"/>
        <v>3821.1655389539651</v>
      </c>
      <c r="T324" s="25">
        <f t="shared" si="92"/>
        <v>53.819232943013596</v>
      </c>
      <c r="U324" s="25">
        <f>+T324/Start!$C$15</f>
        <v>1.5376923698003884</v>
      </c>
      <c r="V324" s="25">
        <f>+U324/1000*Start!$C$18</f>
        <v>0.76884618490019419</v>
      </c>
      <c r="W324" s="25">
        <f t="shared" si="93"/>
        <v>0</v>
      </c>
      <c r="X324" s="25" t="str">
        <f t="shared" si="94"/>
        <v/>
      </c>
      <c r="Y324" s="25" t="str">
        <f>IF(I324="Strom",T324/Q324/(Start!$C$15),"")</f>
        <v/>
      </c>
      <c r="Z324" s="25" t="str">
        <f t="shared" si="95"/>
        <v/>
      </c>
    </row>
    <row r="325" spans="1:26" ht="15" customHeight="1">
      <c r="A325" s="17">
        <v>324</v>
      </c>
      <c r="B325" s="18" t="s">
        <v>159</v>
      </c>
      <c r="C325" s="18" t="s">
        <v>159</v>
      </c>
      <c r="D325" s="17" t="s">
        <v>230</v>
      </c>
      <c r="E325" s="17"/>
      <c r="F325" s="17"/>
      <c r="G325" s="19" t="s">
        <v>97</v>
      </c>
      <c r="H325" s="18" t="s">
        <v>159</v>
      </c>
      <c r="K325" s="19" t="str">
        <f>_xlfn.XLOOKUP(L325,Values!$A$137:$A$140,Values!$B$137:$B$140)</f>
        <v>150 und mehr</v>
      </c>
      <c r="L325" s="53">
        <v>150</v>
      </c>
      <c r="M325" s="19" t="s">
        <v>10</v>
      </c>
      <c r="O325" s="71"/>
      <c r="P325" s="82"/>
      <c r="Q325" s="83">
        <f>+Start!$C$32</f>
        <v>0.1</v>
      </c>
      <c r="S325" s="42">
        <f t="shared" si="96"/>
        <v>6869.6265753281659</v>
      </c>
      <c r="T325" s="25">
        <f t="shared" si="92"/>
        <v>45.79751050218777</v>
      </c>
      <c r="U325" s="25">
        <f>+T325/Start!$C$15</f>
        <v>1.3085003000625077</v>
      </c>
      <c r="V325" s="25">
        <f>+U325/1000*Start!$C$18</f>
        <v>0.65425015003125386</v>
      </c>
      <c r="W325" s="25">
        <f t="shared" si="93"/>
        <v>0</v>
      </c>
      <c r="X325" s="25" t="str">
        <f t="shared" si="94"/>
        <v/>
      </c>
      <c r="Y325" s="25" t="str">
        <f>IF(I325="Strom",T325/Q325/(Start!$C$15),"")</f>
        <v/>
      </c>
      <c r="Z325" s="25" t="str">
        <f t="shared" si="95"/>
        <v/>
      </c>
    </row>
    <row r="326" spans="1:26" ht="15" customHeight="1">
      <c r="A326" s="17">
        <v>325</v>
      </c>
      <c r="B326" s="18" t="s">
        <v>159</v>
      </c>
      <c r="C326" s="18" t="s">
        <v>159</v>
      </c>
      <c r="D326" s="17"/>
      <c r="E326" s="17" t="s">
        <v>230</v>
      </c>
      <c r="F326" s="17"/>
      <c r="G326" s="19" t="s">
        <v>97</v>
      </c>
      <c r="H326" s="18" t="s">
        <v>159</v>
      </c>
      <c r="K326" s="19" t="str">
        <f>_xlfn.XLOOKUP(L326,Values!$A$137:$A$140,Values!$B$137:$B$140)</f>
        <v>1 bis 25</v>
      </c>
      <c r="L326" s="21">
        <v>6</v>
      </c>
      <c r="M326" s="19" t="s">
        <v>10</v>
      </c>
      <c r="O326" s="71"/>
      <c r="P326" s="82"/>
      <c r="Q326" s="83">
        <f>+Start!$C$32</f>
        <v>0.1</v>
      </c>
      <c r="S326" s="42">
        <f>SUMIFS($S$2:$S$321,$L$2:$L$321,L326,$E$2:$E$321,E326)*Q326</f>
        <v>338.25591768627464</v>
      </c>
      <c r="T326" s="25">
        <f t="shared" si="92"/>
        <v>56.375986281045776</v>
      </c>
      <c r="U326" s="25">
        <f>+T326/Start!$C$15</f>
        <v>1.6107424651727364</v>
      </c>
      <c r="V326" s="25">
        <f>+U326/1000*Start!$C$18</f>
        <v>0.80537123258636822</v>
      </c>
      <c r="W326" s="25">
        <f t="shared" si="93"/>
        <v>0</v>
      </c>
      <c r="X326" s="25" t="str">
        <f t="shared" si="94"/>
        <v/>
      </c>
      <c r="Y326" s="25" t="str">
        <f>IF(I326="Strom",T326/Q326/(Start!$C$15),"")</f>
        <v/>
      </c>
      <c r="Z326" s="25" t="str">
        <f t="shared" si="95"/>
        <v/>
      </c>
    </row>
    <row r="327" spans="1:26" ht="15" customHeight="1">
      <c r="A327" s="17">
        <v>326</v>
      </c>
      <c r="B327" s="18" t="s">
        <v>159</v>
      </c>
      <c r="C327" s="18" t="s">
        <v>159</v>
      </c>
      <c r="D327" s="17"/>
      <c r="E327" s="17" t="s">
        <v>230</v>
      </c>
      <c r="F327" s="17"/>
      <c r="G327" s="19" t="s">
        <v>97</v>
      </c>
      <c r="H327" s="18" t="s">
        <v>159</v>
      </c>
      <c r="K327" s="19" t="str">
        <f>_xlfn.XLOOKUP(L327,Values!$A$137:$A$140,Values!$B$137:$B$140)</f>
        <v>26 bis 70</v>
      </c>
      <c r="L327" s="51">
        <v>26</v>
      </c>
      <c r="M327" s="19" t="s">
        <v>10</v>
      </c>
      <c r="O327" s="71"/>
      <c r="P327" s="82"/>
      <c r="Q327" s="83">
        <f>+Start!$C$32</f>
        <v>0.1</v>
      </c>
      <c r="S327" s="42">
        <f t="shared" ref="S327:S329" si="97">SUMIFS($S$2:$S$321,$L$2:$L$321,L327,$E$2:$E$321,E327)*Q327</f>
        <v>1135.5189549554368</v>
      </c>
      <c r="T327" s="25">
        <f t="shared" si="92"/>
        <v>43.673805959824492</v>
      </c>
      <c r="U327" s="25">
        <f>+T327/Start!$C$15</f>
        <v>1.2478230274235569</v>
      </c>
      <c r="V327" s="25">
        <f>+U327/1000*Start!$C$18</f>
        <v>0.62391151371177844</v>
      </c>
      <c r="W327" s="25">
        <f t="shared" si="93"/>
        <v>0</v>
      </c>
      <c r="X327" s="25" t="str">
        <f t="shared" si="94"/>
        <v/>
      </c>
      <c r="Y327" s="25" t="str">
        <f>IF(I327="Strom",T327/Q327/(Start!$C$15),"")</f>
        <v/>
      </c>
      <c r="Z327" s="25" t="str">
        <f t="shared" si="95"/>
        <v/>
      </c>
    </row>
    <row r="328" spans="1:26" ht="15" customHeight="1">
      <c r="A328" s="17">
        <v>327</v>
      </c>
      <c r="B328" s="18" t="s">
        <v>159</v>
      </c>
      <c r="C328" s="18" t="s">
        <v>159</v>
      </c>
      <c r="D328" s="17"/>
      <c r="E328" s="17" t="s">
        <v>230</v>
      </c>
      <c r="F328" s="17"/>
      <c r="G328" s="19" t="s">
        <v>97</v>
      </c>
      <c r="H328" s="18" t="s">
        <v>159</v>
      </c>
      <c r="K328" s="19" t="str">
        <f>_xlfn.XLOOKUP(L328,Values!$A$137:$A$140,Values!$B$137:$B$140)</f>
        <v>71 bis 149</v>
      </c>
      <c r="L328" s="52">
        <v>71</v>
      </c>
      <c r="M328" s="19" t="s">
        <v>10</v>
      </c>
      <c r="O328" s="71"/>
      <c r="P328" s="82"/>
      <c r="Q328" s="83">
        <f>+Start!$C$32</f>
        <v>0.1</v>
      </c>
      <c r="S328" s="42">
        <f t="shared" si="97"/>
        <v>3324.1655389539651</v>
      </c>
      <c r="T328" s="25">
        <f t="shared" si="92"/>
        <v>46.819232943013596</v>
      </c>
      <c r="U328" s="25">
        <f>+T328/Start!$C$15</f>
        <v>1.3376923698003884</v>
      </c>
      <c r="V328" s="25">
        <f>+U328/1000*Start!$C$18</f>
        <v>0.66884618490019421</v>
      </c>
      <c r="W328" s="25">
        <f t="shared" si="93"/>
        <v>0</v>
      </c>
      <c r="X328" s="25" t="str">
        <f t="shared" si="94"/>
        <v/>
      </c>
      <c r="Y328" s="25" t="str">
        <f>IF(I328="Strom",T328/Q328/(Start!$C$15),"")</f>
        <v/>
      </c>
      <c r="Z328" s="25" t="str">
        <f t="shared" si="95"/>
        <v/>
      </c>
    </row>
    <row r="329" spans="1:26" ht="15" customHeight="1">
      <c r="A329" s="17">
        <v>328</v>
      </c>
      <c r="B329" s="18" t="s">
        <v>159</v>
      </c>
      <c r="C329" s="18" t="s">
        <v>159</v>
      </c>
      <c r="D329" s="17"/>
      <c r="E329" s="17" t="s">
        <v>230</v>
      </c>
      <c r="F329" s="17"/>
      <c r="G329" s="19" t="s">
        <v>97</v>
      </c>
      <c r="H329" s="18" t="s">
        <v>159</v>
      </c>
      <c r="K329" s="19" t="str">
        <f>_xlfn.XLOOKUP(L329,Values!$A$137:$A$140,Values!$B$137:$B$140)</f>
        <v>150 und mehr</v>
      </c>
      <c r="L329" s="53">
        <v>150</v>
      </c>
      <c r="M329" s="19" t="s">
        <v>10</v>
      </c>
      <c r="O329" s="71"/>
      <c r="P329" s="82"/>
      <c r="Q329" s="83">
        <f>+Start!$C$32</f>
        <v>0.1</v>
      </c>
      <c r="S329" s="42">
        <f t="shared" si="97"/>
        <v>5819.6265753281659</v>
      </c>
      <c r="T329" s="25">
        <f t="shared" si="92"/>
        <v>38.79751050218777</v>
      </c>
      <c r="U329" s="25">
        <f>+T329/Start!$C$15</f>
        <v>1.1085003000625078</v>
      </c>
      <c r="V329" s="25">
        <f>+U329/1000*Start!$C$18</f>
        <v>0.55425015003125389</v>
      </c>
      <c r="W329" s="25">
        <f t="shared" si="93"/>
        <v>0</v>
      </c>
      <c r="X329" s="25" t="str">
        <f t="shared" si="94"/>
        <v/>
      </c>
      <c r="Y329" s="25" t="str">
        <f>IF(I329="Strom",T329/Q329/(Start!$C$15),"")</f>
        <v/>
      </c>
      <c r="Z329" s="25" t="str">
        <f t="shared" si="95"/>
        <v/>
      </c>
    </row>
    <row r="330" spans="1:26" ht="15" customHeight="1">
      <c r="A330" s="17">
        <v>329</v>
      </c>
      <c r="B330" s="18" t="s">
        <v>159</v>
      </c>
      <c r="C330" s="18" t="s">
        <v>159</v>
      </c>
      <c r="D330" s="17"/>
      <c r="E330" s="17"/>
      <c r="F330" s="17" t="s">
        <v>230</v>
      </c>
      <c r="G330" s="19" t="s">
        <v>97</v>
      </c>
      <c r="H330" s="18" t="s">
        <v>159</v>
      </c>
      <c r="K330" s="19" t="str">
        <f>_xlfn.XLOOKUP(L330,Values!$A$137:$A$140,Values!$B$137:$B$140)</f>
        <v>1 bis 25</v>
      </c>
      <c r="L330" s="21">
        <v>6</v>
      </c>
      <c r="M330" s="19" t="s">
        <v>10</v>
      </c>
      <c r="O330" s="71"/>
      <c r="P330" s="82"/>
      <c r="Q330" s="83">
        <f>+Start!$C$32</f>
        <v>0.1</v>
      </c>
      <c r="S330" s="42">
        <f>SUMIFS($S$2:$S$321,$L$2:$L$321,L330,$F$2:$F$321,F330)*Q330</f>
        <v>245.45557835294122</v>
      </c>
      <c r="T330" s="25">
        <f t="shared" si="67"/>
        <v>40.909263058823534</v>
      </c>
      <c r="U330" s="25">
        <f>+T330/Start!$C$15</f>
        <v>1.1688360873949581</v>
      </c>
      <c r="V330" s="25">
        <f>+U330/1000*Start!$C$18</f>
        <v>0.58441804369747907</v>
      </c>
      <c r="W330" s="25">
        <f t="shared" si="72"/>
        <v>0</v>
      </c>
      <c r="X330" s="25" t="str">
        <f t="shared" si="73"/>
        <v/>
      </c>
      <c r="Y330" s="25" t="str">
        <f>IF(I330="Strom",T330/Q330/(Start!$C$15),"")</f>
        <v/>
      </c>
      <c r="Z330" s="25" t="str">
        <f t="shared" si="70"/>
        <v/>
      </c>
    </row>
    <row r="331" spans="1:26" ht="15" customHeight="1">
      <c r="A331" s="17">
        <v>330</v>
      </c>
      <c r="B331" s="18" t="s">
        <v>159</v>
      </c>
      <c r="C331" s="18" t="s">
        <v>159</v>
      </c>
      <c r="D331" s="17"/>
      <c r="E331" s="17"/>
      <c r="F331" s="17" t="s">
        <v>230</v>
      </c>
      <c r="G331" s="19" t="s">
        <v>97</v>
      </c>
      <c r="H331" s="18" t="s">
        <v>159</v>
      </c>
      <c r="K331" s="19" t="str">
        <f>_xlfn.XLOOKUP(L331,Values!$A$137:$A$140,Values!$B$137:$B$140)</f>
        <v>26 bis 70</v>
      </c>
      <c r="L331" s="51">
        <v>26</v>
      </c>
      <c r="M331" s="19" t="s">
        <v>10</v>
      </c>
      <c r="O331" s="71"/>
      <c r="P331" s="82"/>
      <c r="Q331" s="83">
        <f>+Start!$C$32</f>
        <v>0.1</v>
      </c>
      <c r="S331" s="42">
        <f t="shared" ref="S331:S333" si="98">SUMIFS($S$2:$S$321,$L$2:$L$321,L331,$F$2:$F$321,F331)*Q331</f>
        <v>868.83677828877012</v>
      </c>
      <c r="T331" s="25">
        <f t="shared" si="67"/>
        <v>33.4167991649527</v>
      </c>
      <c r="U331" s="25">
        <f>+T331/Start!$C$15</f>
        <v>0.95476569042722004</v>
      </c>
      <c r="V331" s="25">
        <f>+U331/1000*Start!$C$18</f>
        <v>0.47738284521361002</v>
      </c>
      <c r="W331" s="25">
        <f t="shared" si="72"/>
        <v>0</v>
      </c>
      <c r="X331" s="25" t="str">
        <f t="shared" si="73"/>
        <v/>
      </c>
      <c r="Y331" s="25" t="str">
        <f>IF(I331="Strom",T331/Q331/(Start!$C$15),"")</f>
        <v/>
      </c>
      <c r="Z331" s="25" t="str">
        <f t="shared" si="70"/>
        <v/>
      </c>
    </row>
    <row r="332" spans="1:26" ht="15" customHeight="1">
      <c r="A332" s="17">
        <v>331</v>
      </c>
      <c r="B332" s="18" t="s">
        <v>159</v>
      </c>
      <c r="C332" s="18" t="s">
        <v>159</v>
      </c>
      <c r="D332" s="17"/>
      <c r="E332" s="17"/>
      <c r="F332" s="17" t="s">
        <v>230</v>
      </c>
      <c r="G332" s="19" t="s">
        <v>97</v>
      </c>
      <c r="H332" s="18" t="s">
        <v>159</v>
      </c>
      <c r="K332" s="19" t="str">
        <f>_xlfn.XLOOKUP(L332,Values!$A$137:$A$140,Values!$B$137:$B$140)</f>
        <v>71 bis 149</v>
      </c>
      <c r="L332" s="52">
        <v>71</v>
      </c>
      <c r="M332" s="19" t="s">
        <v>10</v>
      </c>
      <c r="O332" s="71"/>
      <c r="P332" s="82"/>
      <c r="Q332" s="83">
        <f>+Start!$C$32</f>
        <v>0.1</v>
      </c>
      <c r="S332" s="42">
        <f t="shared" si="98"/>
        <v>2447.1008741532983</v>
      </c>
      <c r="T332" s="25">
        <f t="shared" si="67"/>
        <v>34.466209495116878</v>
      </c>
      <c r="U332" s="25">
        <f>+T332/Start!$C$15</f>
        <v>0.98474884271762508</v>
      </c>
      <c r="V332" s="25">
        <f>+U332/1000*Start!$C$18</f>
        <v>0.49237442135881249</v>
      </c>
      <c r="W332" s="25">
        <f t="shared" si="72"/>
        <v>0</v>
      </c>
      <c r="X332" s="25" t="str">
        <f t="shared" si="73"/>
        <v/>
      </c>
      <c r="Y332" s="25" t="str">
        <f>IF(I332="Strom",T332/Q332/(Start!$C$15),"")</f>
        <v/>
      </c>
      <c r="Z332" s="25" t="str">
        <f t="shared" si="70"/>
        <v/>
      </c>
    </row>
    <row r="333" spans="1:26" ht="15" customHeight="1">
      <c r="A333" s="17">
        <v>332</v>
      </c>
      <c r="B333" s="18" t="s">
        <v>159</v>
      </c>
      <c r="C333" s="18" t="s">
        <v>159</v>
      </c>
      <c r="D333" s="17"/>
      <c r="E333" s="17"/>
      <c r="F333" s="17" t="s">
        <v>230</v>
      </c>
      <c r="G333" s="19" t="s">
        <v>97</v>
      </c>
      <c r="H333" s="18" t="s">
        <v>159</v>
      </c>
      <c r="K333" s="19" t="str">
        <f>_xlfn.XLOOKUP(L333,Values!$A$137:$A$140,Values!$B$137:$B$140)</f>
        <v>150 und mehr</v>
      </c>
      <c r="L333" s="53">
        <v>150</v>
      </c>
      <c r="M333" s="19" t="s">
        <v>10</v>
      </c>
      <c r="O333" s="71"/>
      <c r="P333" s="82"/>
      <c r="Q333" s="83">
        <f>+Start!$C$32</f>
        <v>0.1</v>
      </c>
      <c r="S333" s="42">
        <f t="shared" si="98"/>
        <v>4245.040405561499</v>
      </c>
      <c r="T333" s="25">
        <f t="shared" si="67"/>
        <v>28.300269370409993</v>
      </c>
      <c r="U333" s="25">
        <f>+T333/Start!$C$15</f>
        <v>0.80857912486885697</v>
      </c>
      <c r="V333" s="25">
        <f>+U333/1000*Start!$C$18</f>
        <v>0.40428956243442848</v>
      </c>
      <c r="W333" s="25">
        <f t="shared" si="72"/>
        <v>0</v>
      </c>
      <c r="X333" s="25" t="str">
        <f t="shared" si="73"/>
        <v/>
      </c>
      <c r="Y333" s="25" t="str">
        <f>IF(I333="Strom",T333/Q333/(Start!$C$15),"")</f>
        <v/>
      </c>
      <c r="Z333" s="25" t="str">
        <f t="shared" si="70"/>
        <v/>
      </c>
    </row>
    <row r="334" spans="1:26" s="88" customFormat="1" ht="33" customHeight="1">
      <c r="A334" s="84" t="s">
        <v>57</v>
      </c>
      <c r="B334" s="85"/>
      <c r="C334" s="85"/>
      <c r="D334" s="85"/>
      <c r="E334" s="85"/>
      <c r="F334" s="85"/>
      <c r="G334" s="86"/>
      <c r="H334" s="85"/>
      <c r="I334" s="85"/>
      <c r="J334" s="86"/>
      <c r="K334" s="86"/>
      <c r="L334" s="86"/>
      <c r="M334" s="86"/>
      <c r="N334" s="86"/>
      <c r="O334" s="86"/>
      <c r="P334" s="86"/>
      <c r="Q334" s="86"/>
      <c r="R334" s="87">
        <f t="shared" ref="R334:Z334" si="99">SUM(R2:R333)</f>
        <v>164037.14823529412</v>
      </c>
      <c r="S334" s="87">
        <f t="shared" si="99"/>
        <v>154698.23747944264</v>
      </c>
      <c r="T334" s="87">
        <f t="shared" si="99"/>
        <v>2673.090969322162</v>
      </c>
      <c r="U334" s="87">
        <f t="shared" si="99"/>
        <v>76.37402769491888</v>
      </c>
      <c r="V334" s="87">
        <f t="shared" si="99"/>
        <v>38.18701384745944</v>
      </c>
      <c r="W334" s="87"/>
      <c r="X334" s="87">
        <f t="shared" si="99"/>
        <v>25.092617197402607</v>
      </c>
      <c r="Y334" s="87">
        <f t="shared" si="99"/>
        <v>1.3142857142857143</v>
      </c>
      <c r="Z334" s="87">
        <f t="shared" si="99"/>
        <v>0.26242253521126763</v>
      </c>
    </row>
  </sheetData>
  <autoFilter ref="A1:Z334" xr:uid="{35A47011-86F6-4683-90F5-43DBF684C847}"/>
  <pageMargins left="0.70866141732283472" right="0.31496062992125984" top="0.39370078740157483" bottom="0.78740157480314965" header="0.11811023622047245" footer="0.31496062992125984"/>
  <pageSetup paperSize="9" scale="37" orientation="landscape" r:id="rId1"/>
  <headerFooter>
    <oddFooter>&amp;L&amp;F &amp;A&amp;C&amp;D &amp;T&amp;Rlwg/ibi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y V T V V g 9 W H E + m A A A A 9 g A A A B I A H A B D b 2 5 m a W c v U G F j a 2 F n Z S 5 4 b W w g o h g A K K A U A A A A A A A A A A A A A A A A A A A A A A A A A A A A h Y + x D o I w G I R f h X S n L Z g Y J D 9 l U D d J T E y M a 1 N q a Y R i a L G 8 m 4 O P 5 C u I U d T N 8 e 6 + S + 7 u 1 x v k Q 1 M H F 9 l Z 3 Z o M R Z i i Q B r R l t q o D P X u G C Y o Z 7 D l 4 s S V D E b Y 2 H S w O k O V c + e U E O 8 9 9 j P c d o r E l E b k U G x 2 o p I N D 7 W x j h s h 0 a d V / m 8 h B v v X G B b j i C Z 4 k c w x B T K Z U G j z B e J x 7 z P 9 M W H Z 1 6 7 v J C t l u F o D m S S Q 9 w f 2 A F B L A w Q U A A I A C A D J V N V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V T V V i i K R 7 g O A A A A E Q A A A B M A H A B G b 3 J t d W x h c y 9 T Z W N 0 a W 9 u M S 5 t I K I Y A C i g F A A A A A A A A A A A A A A A A A A A A A A A A A A A A C t O T S 7 J z M 9 T C I b Q h t Y A U E s B A i 0 A F A A C A A g A y V T V V g 9 W H E + m A A A A 9 g A A A B I A A A A A A A A A A A A A A A A A A A A A A E N v b m Z p Z y 9 Q Y W N r Y W d l L n h t b F B L A Q I t A B Q A A g A I A M l U 1 V Y P y u m r p A A A A O k A A A A T A A A A A A A A A A A A A A A A A P I A A A B b Q 2 9 u d G V u d F 9 U e X B l c 1 0 u e G 1 s U E s B A i 0 A F A A C A A g A y V T V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q / w k s D E i Z E j 4 E P y z u B V T k A A A A A A g A A A A A A A 2 Y A A M A A A A A Q A A A A + L F / 3 Y k A L 4 2 t f i 2 4 + n O u y A A A A A A E g A A A o A A A A B A A A A C D A J w K 5 M D S B U u p p c b i W / 9 N U A A A A C e y t Q 7 u q C k L r T 5 6 X o 3 t X 0 Q o w Q + j b W u O l N 8 Y 6 X b s 8 O c d U g D z 8 l Z M z U 4 2 I i q S I e u L U f n I 4 l j Y T V E a h t a m W D h x E g z 5 6 J N j G a 3 I t 8 O 9 P p e 0 V H J T F A A A A N b H 3 D 6 G f A w i C t R c m 1 x R X A r H M 9 w 7 < / D a t a M a s h u p > 
</file>

<file path=customXml/itemProps1.xml><?xml version="1.0" encoding="utf-8"?>
<ds:datastoreItem xmlns:ds="http://schemas.openxmlformats.org/officeDocument/2006/customXml" ds:itemID="{A67F1B64-F660-4B7A-B2D8-3177D22107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INTRO</vt:lpstr>
      <vt:lpstr>Start</vt:lpstr>
      <vt:lpstr>Values</vt:lpstr>
      <vt:lpstr>Tabelle 1_nach Kostenart</vt:lpstr>
      <vt:lpstr>Tabelle 2_nach Prozessen</vt:lpstr>
      <vt:lpstr>Tabelle 3_nach Zahlungsart</vt:lpstr>
      <vt:lpstr>Tabelle 4_Kennzahlen</vt:lpstr>
      <vt:lpstr>calc_pos</vt:lpstr>
      <vt:lpstr>INTRO!Druckbereich</vt:lpstr>
      <vt:lpstr>Start!Druckbereich</vt:lpstr>
      <vt:lpstr>'Tabelle 1_nach Kostenart'!Druckbereich</vt:lpstr>
      <vt:lpstr>'Tabelle 2_nach Prozessen'!Druckbereich</vt:lpstr>
      <vt:lpstr>'Tabelle 3_nach Zahlungsart'!Druckbereich</vt:lpstr>
      <vt:lpstr>'Tabelle 4_Kennzahlen'!Druckbereich</vt:lpstr>
      <vt:lpstr>TAB_Verlust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Kammerer, Artur (LWG)</dc:creator>
  <cp:lastModifiedBy>Kammerer, Artur (LWG)</cp:lastModifiedBy>
  <cp:lastPrinted>2026-03-12T08:59:14Z</cp:lastPrinted>
  <dcterms:created xsi:type="dcterms:W3CDTF">2023-04-27T06:16:06Z</dcterms:created>
  <dcterms:modified xsi:type="dcterms:W3CDTF">2026-03-17T07:07:05Z</dcterms:modified>
</cp:coreProperties>
</file>